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Settings" sheetId="3" state="visible" r:id="rId5"/>
    <sheet name="Clients" sheetId="4" state="visible" r:id="rId6"/>
    <sheet name="Time Log" sheetId="5" state="visible" r:id="rId7"/>
    <sheet name="Invoices" sheetId="6" state="visible" r:id="rId8"/>
    <sheet name="Expenses" sheetId="7" state="visible" r:id="rId9"/>
    <sheet name="Profit &amp; Loss" sheetId="8" state="visible" r:id="rId10"/>
    <sheet name="Expenses by Category" sheetId="9" state="visible" r:id="rId11"/>
    <sheet name="Cash Flow &amp; Taxes" sheetId="10" state="visible" r:id="rId12"/>
    <sheet name="Rate Calculator" sheetId="11" state="visible" r:id="rId13"/>
    <sheet name="Pipeline" sheetId="12" state="visible" r:id="rId14"/>
    <sheet name="Money Tips" sheetId="13" state="visible" r:id="rId15"/>
    <sheet name="AI Prompts" sheetId="14" state="visible" r:id="rId1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<sst xmlns="http://schemas.openxmlformats.org/spreadsheetml/2006/main" count="3285" uniqueCount="779">
  <si>
    <t xml:space="preserve">NP CONNECT  |  SMALL BUSINESS TOOLKIT</t>
  </si>
  <si>
    <t xml:space="preserve">B2B Hourly Revenue Planner</t>
  </si>
  <si>
    <t xml:space="preserve">Bookkeeping and financial planning are essential to any business. Stay organized with this easy to understand tool that tracks your clients, hours, invoices, expenses, advertising and profit... all in one place.</t>
  </si>
  <si>
    <t xml:space="preserve">Most new business owners know exactly how busy they are and have no idea if they're making money. Busy is not a business model. This workbook shows you what you billed, what you collected, what you spent, what belongs to the tax man and what's actually yours... in about 30 minutes a week.</t>
  </si>
  <si>
    <t xml:space="preserve">HOW TO USE IT</t>
  </si>
  <si>
    <t xml:space="preserve">1.  Settings: your business name, year, revenue goal, starting cash, tax set-aside %, and your expense categories with a monthly budget. Once a year.</t>
  </si>
  <si>
    <t xml:space="preserve">2.  Rate Calculator: figure out what you need to charge BEFORE you quote anyone. It also builds retainers and project prices and tells you your break even hours.</t>
  </si>
  <si>
    <t xml:space="preserve">3.  Clients: add each client, how you bill them (hourly, retainer or project), their rate and payment terms.</t>
  </si>
  <si>
    <t xml:space="preserve">4.  Time Log: log your hours daily or every Friday. Billable and non-billable. Yes, admin time counts. That's how you find your real hourly rate.</t>
  </si>
  <si>
    <t xml:space="preserve">5.  Invoices: every invoice you send and every payment you get. Due dates, status, late days and aging calculate themselves.</t>
  </si>
  <si>
    <t xml:space="preserve">6.  Expenses: every dollar out, including advertising, contractors, owner pay and tax payments. Pick a category from the dropdown.</t>
  </si>
  <si>
    <t xml:space="preserve">7.  Dashboard: pick the last full month. Profit &amp; Loss, Expenses by Category and Cash Flow &amp; Taxes all update.</t>
  </si>
  <si>
    <t xml:space="preserve">8.  Pipeline: track every prospect and the next step, so next month's revenue isn't a surprise.</t>
  </si>
  <si>
    <t xml:space="preserve">THE COLOR CODE</t>
  </si>
  <si>
    <t xml:space="preserve">Green cells with blue text = you type here.   White cells = formulas. Leave them alone and they'll do the math.</t>
  </si>
  <si>
    <t xml:space="preserve">This file comes loaded with SAMPLE numbers for a made-up consulting business so you can see how everything works. To start fresh, clear the green cells on Clients, Time Log, Invoices, Expenses, Pipeline and the Expected revenue row on Cash Flow &amp; Taxes, then update Settings.</t>
  </si>
  <si>
    <t xml:space="preserve">A FEW RULES THAT MAKE THIS WORK</t>
  </si>
  <si>
    <t xml:space="preserve">■</t>
  </si>
  <si>
    <t xml:space="preserve">Separate your money. One business checking account, one business credit card. No exceptions, no "just this once."</t>
  </si>
  <si>
    <t xml:space="preserve">Every time a payment lands, move your tax set-aside % into a separate savings account that day. April will thank you.</t>
  </si>
  <si>
    <t xml:space="preserve">Pay yourself a set amount on a set day. "Whatever's left" isn't a paycheck.</t>
  </si>
  <si>
    <t xml:space="preserve">Know your number. If your effective hourly rate is below your target rate, raise rates, tighten scope or (nicely) fire a client.</t>
  </si>
  <si>
    <t xml:space="preserve">No single client over 25% of your revenue. If they leave, your business shouldn't leave with them.</t>
  </si>
  <si>
    <t xml:space="preserve">Hold a 30 minute money date every Friday. Log time, send invoices, log expenses, snap receipts. Done.</t>
  </si>
  <si>
    <t xml:space="preserve">USE AI TO DO THE BORING PARTS</t>
  </si>
  <si>
    <t xml:space="preserve">Sort your expenses: export your bank or card transactions (CSV), delete account numbers, and ask: "Sort these into these categories: [paste your categories]. Return Date, Vendor, What it was for, Category and Amount as a table I can paste into Excel."</t>
  </si>
  <si>
    <t xml:space="preserve">Chase a late invoice: "Write a friendly but firm reminder for invoice #[number] for [$], now [X] days late. Under 100 words. No guilt trips."</t>
  </si>
  <si>
    <t xml:space="preserve">Get a monthly review: upload this workbook and ask: "Act as my fractional CFO. Using only the numbers in this file, am I on pace for my goal, which clients are least profitable per hour, and what 3 things should I do next month?"</t>
  </si>
  <si>
    <t xml:space="preserve">More prompts for pricing, rate increases, cash forecasts and year end prep are on the AI Prompts tab.</t>
  </si>
  <si>
    <t xml:space="preserve">This workbook is a planning tool, not tax, legal or accounting advice. Your accountant gets the final say. Buy them coffee.</t>
  </si>
  <si>
    <t xml:space="preserve">PICKLE POINT</t>
  </si>
  <si>
    <t xml:space="preserve">"Busy is not a business model. Know your numbers."  Nick Packard</t>
  </si>
  <si>
    <t xml:space="preserve">More free tools from the book Picklefarts: Stupid Ideas. Smart Marketing. at nickisatool.com</t>
  </si>
  <si>
    <t xml:space="preserve">Through:</t>
  </si>
  <si>
    <t xml:space="preserve">Sep</t>
  </si>
  <si>
    <t xml:space="preserve">&lt;  Pick the last full month. Year-to-date numbers on every tab run through this month.</t>
  </si>
  <si>
    <t xml:space="preserve">month #</t>
  </si>
  <si>
    <t xml:space="preserve">year gone</t>
  </si>
  <si>
    <t xml:space="preserve">REVENUE (YTD)</t>
  </si>
  <si>
    <t xml:space="preserve">EXPENSES (YTD)</t>
  </si>
  <si>
    <t xml:space="preserve">NET PROFIT (YTD)</t>
  </si>
  <si>
    <t xml:space="preserve">CASH IN THE BANK</t>
  </si>
  <si>
    <t xml:space="preserve">OWED TO YOU</t>
  </si>
  <si>
    <t xml:space="preserve">EFFECTIVE HOURLY RATE</t>
  </si>
  <si>
    <t xml:space="preserve">BILLABLE % (YTD)</t>
  </si>
  <si>
    <t xml:space="preserve">PIPELINE (WEIGHTED)</t>
  </si>
  <si>
    <t xml:space="preserve">QUICK CHECKS</t>
  </si>
  <si>
    <t xml:space="preserve">Your clients this year</t>
  </si>
  <si>
    <t xml:space="preserve">Client</t>
  </si>
  <si>
    <t xml:space="preserve">Billed</t>
  </si>
  <si>
    <t xml:space="preserve">Collected</t>
  </si>
  <si>
    <t xml:space="preserve">Owed</t>
  </si>
  <si>
    <t xml:space="preserve">Hours</t>
  </si>
  <si>
    <t xml:space="preserve">Eff. rate</t>
  </si>
  <si>
    <t xml:space="preserve">Share</t>
  </si>
  <si>
    <t xml:space="preserve">Check</t>
  </si>
  <si>
    <t xml:space="preserve">Chart data (calculated for the charts, don't edit)</t>
  </si>
  <si>
    <t xml:space="preserve">Month</t>
  </si>
  <si>
    <t xml:space="preserve">Jan</t>
  </si>
  <si>
    <t xml:space="preserve">Feb</t>
  </si>
  <si>
    <t xml:space="preserve">Mar</t>
  </si>
  <si>
    <t xml:space="preserve">Apr</t>
  </si>
  <si>
    <t xml:space="preserve">May</t>
  </si>
  <si>
    <t xml:space="preserve">Jun</t>
  </si>
  <si>
    <t xml:space="preserve">Jul</t>
  </si>
  <si>
    <t xml:space="preserve">Aug</t>
  </si>
  <si>
    <t xml:space="preserve">Oct</t>
  </si>
  <si>
    <t xml:space="preserve">Nov</t>
  </si>
  <si>
    <t xml:space="preserve">Dec</t>
  </si>
  <si>
    <t xml:space="preserve">Revenue</t>
  </si>
  <si>
    <t xml:space="preserve">Business expenses</t>
  </si>
  <si>
    <t xml:space="preserve">Net profit</t>
  </si>
  <si>
    <t xml:space="preserve">Settings</t>
  </si>
  <si>
    <t xml:space="preserve">Set this up once at the start of the year. Every other tab pulls from here.</t>
  </si>
  <si>
    <t xml:space="preserve">Business name</t>
  </si>
  <si>
    <t xml:space="preserve">Sample Co. Consulting</t>
  </si>
  <si>
    <t xml:space="preserve">Shows on the dashboard.</t>
  </si>
  <si>
    <t xml:space="preserve">Year</t>
  </si>
  <si>
    <t xml:space="preserve">Drives every month on every tab.</t>
  </si>
  <si>
    <t xml:space="preserve">Annual revenue goal</t>
  </si>
  <si>
    <t xml:space="preserve">What you want to bill this year. Use the Rate Calculator to sanity check it.</t>
  </si>
  <si>
    <t xml:space="preserve">Cash in the business bank account on Jan 1</t>
  </si>
  <si>
    <t xml:space="preserve">Your starting point for the Cash Flow tab.</t>
  </si>
  <si>
    <t xml:space="preserve">Tax set-aside %</t>
  </si>
  <si>
    <t xml:space="preserve">A common rule of thumb for self-employed folks is 25% to 30% of profit. Ask your accountant for your number.</t>
  </si>
  <si>
    <t xml:space="preserve">Billable hours goal per week</t>
  </si>
  <si>
    <t xml:space="preserve">Realistic, not heroic. Admin, sales and marketing eat the rest.</t>
  </si>
  <si>
    <t xml:space="preserve">Default payment terms (days)</t>
  </si>
  <si>
    <t xml:space="preserve">Used when a client doesn't have their own terms.</t>
  </si>
  <si>
    <t xml:space="preserve">Count revenue when it's...</t>
  </si>
  <si>
    <t xml:space="preserve">Paid</t>
  </si>
  <si>
    <t xml:space="preserve">Paid = cash basis (most small businesses file this way). Invoiced = accrual basis. Pick one and stick with it.</t>
  </si>
  <si>
    <t xml:space="preserve">Monthly business budget (calculated)</t>
  </si>
  <si>
    <t xml:space="preserve">Everything except owner pay and tax payments.</t>
  </si>
  <si>
    <t xml:space="preserve">Monthly overhead + marketing budget (calculated)</t>
  </si>
  <si>
    <t xml:space="preserve">What it costs to keep the lights on and the phone ringing. Used in the Rate Calculator.</t>
  </si>
  <si>
    <t xml:space="preserve">Expense categories</t>
  </si>
  <si>
    <t xml:space="preserve">Group</t>
  </si>
  <si>
    <t xml:space="preserve">Monthly budget</t>
  </si>
  <si>
    <t xml:space="preserve">Notes (rename, add or delete categories to fit your business)</t>
  </si>
  <si>
    <t xml:space="preserve">Expense groups</t>
  </si>
  <si>
    <t xml:space="preserve">Billing types</t>
  </si>
  <si>
    <t xml:space="preserve">Payment methods</t>
  </si>
  <si>
    <t xml:space="preserve">Lead sources</t>
  </si>
  <si>
    <t xml:space="preserve">Pipeline stages</t>
  </si>
  <si>
    <t xml:space="preserve">Win chance</t>
  </si>
  <si>
    <t xml:space="preserve">Client status</t>
  </si>
  <si>
    <t xml:space="preserve">Client list (for dropdowns)</t>
  </si>
  <si>
    <t xml:space="preserve">Owner pay / draws</t>
  </si>
  <si>
    <t xml:space="preserve">Owner Pay &amp; Taxes</t>
  </si>
  <si>
    <t xml:space="preserve">KEEP IN THIS ROW. What you pay yourself. Not a business expense for a sole proprietor, but it sure leaves the bank.</t>
  </si>
  <si>
    <t xml:space="preserve">Overhead</t>
  </si>
  <si>
    <t xml:space="preserve">Hourly</t>
  </si>
  <si>
    <t xml:space="preserve">ACH / bank transfer</t>
  </si>
  <si>
    <t xml:space="preserve">Referral</t>
  </si>
  <si>
    <t xml:space="preserve">New lead</t>
  </si>
  <si>
    <t xml:space="preserve">Active</t>
  </si>
  <si>
    <t xml:space="preserve">Internal / admin</t>
  </si>
  <si>
    <t xml:space="preserve">Estimated tax payments</t>
  </si>
  <si>
    <t xml:space="preserve">KEEP IN THIS ROW. Quarterly tax payments. Budget about 1/3 of each quarterly payment per month.</t>
  </si>
  <si>
    <t xml:space="preserve">Marketing &amp; Advertising</t>
  </si>
  <si>
    <t xml:space="preserve">Retainer</t>
  </si>
  <si>
    <t xml:space="preserve">Credit card</t>
  </si>
  <si>
    <t xml:space="preserve">Website</t>
  </si>
  <si>
    <t xml:space="preserve">Contacted</t>
  </si>
  <si>
    <t xml:space="preserve">Paused</t>
  </si>
  <si>
    <t xml:space="preserve">Rent / coworking</t>
  </si>
  <si>
    <t xml:space="preserve">Office, coworking, storage</t>
  </si>
  <si>
    <t xml:space="preserve">Contractors &amp; Vendors</t>
  </si>
  <si>
    <t xml:space="preserve">Project</t>
  </si>
  <si>
    <t xml:space="preserve">Debit card</t>
  </si>
  <si>
    <t xml:space="preserve">Google search</t>
  </si>
  <si>
    <t xml:space="preserve">Meeting set</t>
  </si>
  <si>
    <t xml:space="preserve">Past</t>
  </si>
  <si>
    <t xml:space="preserve">Utilities &amp; internet</t>
  </si>
  <si>
    <t xml:space="preserve">Home office share counts. Ask your accountant how.</t>
  </si>
  <si>
    <t xml:space="preserve">LinkedIn</t>
  </si>
  <si>
    <t xml:space="preserve">Proposal sent</t>
  </si>
  <si>
    <t xml:space="preserve">Phone</t>
  </si>
  <si>
    <t xml:space="preserve">Cash</t>
  </si>
  <si>
    <t xml:space="preserve">Social media</t>
  </si>
  <si>
    <t xml:space="preserve">Negotiating</t>
  </si>
  <si>
    <t xml:space="preserve">Software &amp; subscriptions</t>
  </si>
  <si>
    <t xml:space="preserve">Audit these every quarter. They multiply like rabbits.</t>
  </si>
  <si>
    <t xml:space="preserve">Payment app</t>
  </si>
  <si>
    <t xml:space="preserve">Networking event</t>
  </si>
  <si>
    <t xml:space="preserve">Won</t>
  </si>
  <si>
    <t xml:space="preserve">Insurance</t>
  </si>
  <si>
    <t xml:space="preserve">General liability, professional (E&amp;O), cyber</t>
  </si>
  <si>
    <t xml:space="preserve">Repeat client</t>
  </si>
  <si>
    <t xml:space="preserve">Lost</t>
  </si>
  <si>
    <t xml:space="preserve">Professional services</t>
  </si>
  <si>
    <t xml:space="preserve">Accountant, attorney, consultants</t>
  </si>
  <si>
    <t xml:space="preserve">Cold outreach</t>
  </si>
  <si>
    <t xml:space="preserve">Office &amp; supplies</t>
  </si>
  <si>
    <t xml:space="preserve">Trade show</t>
  </si>
  <si>
    <t xml:space="preserve">Travel &amp; meals</t>
  </si>
  <si>
    <t xml:space="preserve">Keep the receipt AND write who you met and why</t>
  </si>
  <si>
    <t xml:space="preserve">Other</t>
  </si>
  <si>
    <t xml:space="preserve">Mileage / vehicle</t>
  </si>
  <si>
    <t xml:space="preserve">2026 IRS business rate: 72.5 cents per mile</t>
  </si>
  <si>
    <t xml:space="preserve">Group names are used in the formulas. Rename them if you want, but keep four.</t>
  </si>
  <si>
    <t xml:space="preserve">Bank &amp; payment fees</t>
  </si>
  <si>
    <t xml:space="preserve">Card processing, wire fees, monthly fees</t>
  </si>
  <si>
    <t xml:space="preserve">Education &amp; training</t>
  </si>
  <si>
    <t xml:space="preserve">Courses, books, conferences</t>
  </si>
  <si>
    <t xml:space="preserve">Paid ads</t>
  </si>
  <si>
    <t xml:space="preserve">Google, Meta, LinkedIn, TikTok</t>
  </si>
  <si>
    <t xml:space="preserve">Website &amp; hosting</t>
  </si>
  <si>
    <t xml:space="preserve">Hosting, domains, plugins</t>
  </si>
  <si>
    <t xml:space="preserve">Print &amp; promo</t>
  </si>
  <si>
    <t xml:space="preserve">Cards, postcards, swag, signs. Yes, a farting pickle counts.</t>
  </si>
  <si>
    <t xml:space="preserve">Events &amp; networking</t>
  </si>
  <si>
    <t xml:space="preserve">Chamber, trade shows, sponsorships</t>
  </si>
  <si>
    <t xml:space="preserve">Content &amp; design</t>
  </si>
  <si>
    <t xml:space="preserve">Stock photos, video, design tools for marketing</t>
  </si>
  <si>
    <t xml:space="preserve">Freelance design</t>
  </si>
  <si>
    <t xml:space="preserve">Subcontracted client work</t>
  </si>
  <si>
    <t xml:space="preserve">Web development</t>
  </si>
  <si>
    <t xml:space="preserve">Writers &amp; content</t>
  </si>
  <si>
    <t xml:space="preserve">Virtual assistant</t>
  </si>
  <si>
    <t xml:space="preserve">Best money a solo owner can spend</t>
  </si>
  <si>
    <t xml:space="preserve">Total monthly budget (including owner pay)</t>
  </si>
  <si>
    <t xml:space="preserve">Clients &amp; Rates</t>
  </si>
  <si>
    <t xml:space="preserve">Who you work for, how you bill them and what each one is really worth. Gray columns calculate from the Time Log and Invoices.</t>
  </si>
  <si>
    <t xml:space="preserve">Hourly clients: what you bill. Retainer + project clients: what your time is worth (used to check if the fee is fair).</t>
  </si>
  <si>
    <t xml:space="preserve">#</t>
  </si>
  <si>
    <t xml:space="preserve">Main contact</t>
  </si>
  <si>
    <t xml:space="preserve">Email</t>
  </si>
  <si>
    <t xml:space="preserve">Billing type</t>
  </si>
  <si>
    <t xml:space="preserve">Hourly rate</t>
  </si>
  <si>
    <t xml:space="preserve">Monthly retainer or project fee</t>
  </si>
  <si>
    <t xml:space="preserve">Payment terms (days)</t>
  </si>
  <si>
    <t xml:space="preserve">Lead source</t>
  </si>
  <si>
    <t xml:space="preserve">Client since</t>
  </si>
  <si>
    <t xml:space="preserve">Status</t>
  </si>
  <si>
    <t xml:space="preserve">Hours this year</t>
  </si>
  <si>
    <t xml:space="preserve">Billed this year</t>
  </si>
  <si>
    <t xml:space="preserve">Owed to you</t>
  </si>
  <si>
    <t xml:space="preserve">Effective hourly rate</t>
  </si>
  <si>
    <t xml:space="preserve">Share of revenue</t>
  </si>
  <si>
    <t xml:space="preserve">Avg days to pay</t>
  </si>
  <si>
    <t xml:space="preserve">Check this</t>
  </si>
  <si>
    <t xml:space="preserve">rank</t>
  </si>
  <si>
    <t xml:space="preserve">Copperline HVAC</t>
  </si>
  <si>
    <t xml:space="preserve">Dana Ruiz</t>
  </si>
  <si>
    <t xml:space="preserve">dana@copperline-example.com</t>
  </si>
  <si>
    <t xml:space="preserve">Northstar Pet Resort</t>
  </si>
  <si>
    <t xml:space="preserve">Tom Becker</t>
  </si>
  <si>
    <t xml:space="preserve">tom@northstar-example.com</t>
  </si>
  <si>
    <t xml:space="preserve">Maple Lane Realty</t>
  </si>
  <si>
    <t xml:space="preserve">Priya Shah</t>
  </si>
  <si>
    <t xml:space="preserve">priya@maple-example.com</t>
  </si>
  <si>
    <t xml:space="preserve">Bramble Family Dental</t>
  </si>
  <si>
    <t xml:space="preserve">Kelly Ortiz</t>
  </si>
  <si>
    <t xml:space="preserve">kelly@bramble-example.com</t>
  </si>
  <si>
    <t xml:space="preserve">Second Cup Cafe</t>
  </si>
  <si>
    <t xml:space="preserve">Luis Moreno</t>
  </si>
  <si>
    <t xml:space="preserve">luis@second-example.com</t>
  </si>
  <si>
    <t xml:space="preserve">Ironclad Fitness</t>
  </si>
  <si>
    <t xml:space="preserve">Jordan Lee</t>
  </si>
  <si>
    <t xml:space="preserve">jordan@ironclad-example.com</t>
  </si>
  <si>
    <t xml:space="preserve">Lakeside Law Group</t>
  </si>
  <si>
    <t xml:space="preserve">Ann Whitfield</t>
  </si>
  <si>
    <t xml:space="preserve">ann@lakeside-example.com</t>
  </si>
  <si>
    <t xml:space="preserve">Pickle Barrel Deli</t>
  </si>
  <si>
    <t xml:space="preserve">Sam Novak</t>
  </si>
  <si>
    <t xml:space="preserve">sam@pickle-example.com</t>
  </si>
  <si>
    <t xml:space="preserve">What the checks mean</t>
  </si>
  <si>
    <t xml:space="preserve">Too big to lose: one client is more than 25% of your billing. If they leave, it hurts. Go find two more like them.</t>
  </si>
  <si>
    <t xml:space="preserve">Below your target rate: you're earning less per hour on this client than the Rate Calculator says you need. Raise the rate, cut the scope or bill the extra hours.</t>
  </si>
  <si>
    <t xml:space="preserve">Slow payer: they take 5+ days longer than your terms to pay. Shorten terms, require autopay or ask for a deposit.</t>
  </si>
  <si>
    <t xml:space="preserve">Effective hourly rate = what you billed them divided by every hour you spent on them. It's the truth serum for retainers and fixed price projects.</t>
  </si>
  <si>
    <t xml:space="preserve">Time Log</t>
  </si>
  <si>
    <t xml:space="preserve">Log your hours daily or every Friday. One line per client per day (or per week). Pick "Internal / admin" for the work nobody pays you for.</t>
  </si>
  <si>
    <t xml:space="preserve">Total hours</t>
  </si>
  <si>
    <t xml:space="preserve">Billable hours</t>
  </si>
  <si>
    <t xml:space="preserve">Billable %</t>
  </si>
  <si>
    <t xml:space="preserve">Billable work not invoiced yet</t>
  </si>
  <si>
    <t xml:space="preserve">Date</t>
  </si>
  <si>
    <t xml:space="preserve">Task / project</t>
  </si>
  <si>
    <t xml:space="preserve">Billable?</t>
  </si>
  <si>
    <t xml:space="preserve">Rate</t>
  </si>
  <si>
    <t xml:space="preserve">Value</t>
  </si>
  <si>
    <t xml:space="preserve">Invoiced yet?</t>
  </si>
  <si>
    <t xml:space="preserve">Notes</t>
  </si>
  <si>
    <t xml:space="preserve">Monthly social content</t>
  </si>
  <si>
    <t xml:space="preserve">Yes</t>
  </si>
  <si>
    <t xml:space="preserve">Monthly content + ads management</t>
  </si>
  <si>
    <t xml:space="preserve">Bookkeeping, email, invoicing</t>
  </si>
  <si>
    <t xml:space="preserve">No</t>
  </si>
  <si>
    <t xml:space="preserve">Marketing my own business</t>
  </si>
  <si>
    <t xml:space="preserve">Email newsletter</t>
  </si>
  <si>
    <t xml:space="preserve">Menu board + flyers</t>
  </si>
  <si>
    <t xml:space="preserve">New patient offer</t>
  </si>
  <si>
    <t xml:space="preserve">Holiday promo planning</t>
  </si>
  <si>
    <t xml:space="preserve">Review generation program</t>
  </si>
  <si>
    <t xml:space="preserve">Google Ads optimization</t>
  </si>
  <si>
    <t xml:space="preserve">Instagram posts</t>
  </si>
  <si>
    <t xml:space="preserve">Social media management</t>
  </si>
  <si>
    <t xml:space="preserve">Listing videos + posts</t>
  </si>
  <si>
    <t xml:space="preserve">Website updates</t>
  </si>
  <si>
    <t xml:space="preserve">Strategy call + reporting</t>
  </si>
  <si>
    <t xml:space="preserve">Website rebuild: launch</t>
  </si>
  <si>
    <t xml:space="preserve">Website rebuild</t>
  </si>
  <si>
    <t xml:space="preserve">Agent recruiting campaign</t>
  </si>
  <si>
    <t xml:space="preserve">Website rebuild: content</t>
  </si>
  <si>
    <t xml:space="preserve">Website copy</t>
  </si>
  <si>
    <t xml:space="preserve">LinkedIn strategy</t>
  </si>
  <si>
    <t xml:space="preserve">Brand messaging</t>
  </si>
  <si>
    <t xml:space="preserve">Grand reopening promo</t>
  </si>
  <si>
    <t xml:space="preserve">Logo + menu design</t>
  </si>
  <si>
    <t xml:space="preserve">Invoices &amp; Payments</t>
  </si>
  <si>
    <t xml:space="preserve">Every invoice you send, every payment you get. Status, due dates and late days calculate themselves.</t>
  </si>
  <si>
    <t xml:space="preserve">Overdue</t>
  </si>
  <si>
    <t xml:space="preserve">Avg days to get paid</t>
  </si>
  <si>
    <t xml:space="preserve">Invoice #</t>
  </si>
  <si>
    <t xml:space="preserve">Invoice date</t>
  </si>
  <si>
    <t xml:space="preserve">What it's for</t>
  </si>
  <si>
    <t xml:space="preserve">Amount</t>
  </si>
  <si>
    <t xml:space="preserve">Terms (days)</t>
  </si>
  <si>
    <t xml:space="preserve">Due date</t>
  </si>
  <si>
    <t xml:space="preserve">Date paid</t>
  </si>
  <si>
    <t xml:space="preserve">Amount paid</t>
  </si>
  <si>
    <t xml:space="preserve">Paid how?</t>
  </si>
  <si>
    <t xml:space="preserve">Balance</t>
  </si>
  <si>
    <t xml:space="preserve">Days late</t>
  </si>
  <si>
    <t xml:space="preserve">Aging</t>
  </si>
  <si>
    <t xml:space="preserve">Days to get paid</t>
  </si>
  <si>
    <t xml:space="preserve">Money owed, by age</t>
  </si>
  <si>
    <t xml:space="preserve">Jan retainer</t>
  </si>
  <si>
    <t xml:space="preserve">Not due yet</t>
  </si>
  <si>
    <t xml:space="preserve">1-30 days late</t>
  </si>
  <si>
    <t xml:space="preserve">Jan hours</t>
  </si>
  <si>
    <t xml:space="preserve">31-60 days late</t>
  </si>
  <si>
    <t xml:space="preserve">61-90 days late</t>
  </si>
  <si>
    <t xml:space="preserve">Feb retainer</t>
  </si>
  <si>
    <t xml:space="preserve">90+ days late</t>
  </si>
  <si>
    <t xml:space="preserve">Total owed</t>
  </si>
  <si>
    <t xml:space="preserve">Feb hours</t>
  </si>
  <si>
    <t xml:space="preserve">Over 60 days late? Call them.
Over 90? Your odds of
collecting drop fast.</t>
  </si>
  <si>
    <t xml:space="preserve">Mar retainer</t>
  </si>
  <si>
    <t xml:space="preserve">Website rebuild: 50% deposit</t>
  </si>
  <si>
    <t xml:space="preserve">Mar hours</t>
  </si>
  <si>
    <t xml:space="preserve">Apr retainer</t>
  </si>
  <si>
    <t xml:space="preserve">Apr hours</t>
  </si>
  <si>
    <t xml:space="preserve">May retainer</t>
  </si>
  <si>
    <t xml:space="preserve">Website rebuild: final 50%</t>
  </si>
  <si>
    <t xml:space="preserve">May hours</t>
  </si>
  <si>
    <t xml:space="preserve">Jun retainer</t>
  </si>
  <si>
    <t xml:space="preserve">Jun hours</t>
  </si>
  <si>
    <t xml:space="preserve">Jul retainer</t>
  </si>
  <si>
    <t xml:space="preserve">Jul hours</t>
  </si>
  <si>
    <t xml:space="preserve">Aug retainer</t>
  </si>
  <si>
    <t xml:space="preserve">Logo + menu: 50% deposit</t>
  </si>
  <si>
    <t xml:space="preserve">Aug hours</t>
  </si>
  <si>
    <t xml:space="preserve">Sep retainer</t>
  </si>
  <si>
    <t xml:space="preserve">Sep hours</t>
  </si>
  <si>
    <t xml:space="preserve">Logo + menu: final 50%</t>
  </si>
  <si>
    <t xml:space="preserve">Oct retainer</t>
  </si>
  <si>
    <t xml:space="preserve">Expenses</t>
  </si>
  <si>
    <t xml:space="preserve">Every dollar out: overhead, advertising, contractors, owner pay and tax payments. Pick a category and the group fills in.</t>
  </si>
  <si>
    <t xml:space="preserve">Total spent</t>
  </si>
  <si>
    <t xml:space="preserve">Missing receipts</t>
  </si>
  <si>
    <t xml:space="preserve">Need a category</t>
  </si>
  <si>
    <t xml:space="preserve">Vendor / payee</t>
  </si>
  <si>
    <t xml:space="preserve">What was it for?</t>
  </si>
  <si>
    <t xml:space="preserve">Category</t>
  </si>
  <si>
    <t xml:space="preserve">Paid with</t>
  </si>
  <si>
    <t xml:space="preserve">Receipt saved?</t>
  </si>
  <si>
    <t xml:space="preserve">Billable to client (optional)</t>
  </si>
  <si>
    <t xml:space="preserve">Hive Coworking</t>
  </si>
  <si>
    <t xml:space="preserve">Desk membership</t>
  </si>
  <si>
    <t xml:space="preserve">Accounting software</t>
  </si>
  <si>
    <t xml:space="preserve">Monthly plan</t>
  </si>
  <si>
    <t xml:space="preserve">Business credit card</t>
  </si>
  <si>
    <t xml:space="preserve">Microsoft 365</t>
  </si>
  <si>
    <t xml:space="preserve">Email + Office apps</t>
  </si>
  <si>
    <t xml:space="preserve">Canva</t>
  </si>
  <si>
    <t xml:space="preserve">Design tool</t>
  </si>
  <si>
    <t xml:space="preserve">AI assistant</t>
  </si>
  <si>
    <t xml:space="preserve">Pro subscription</t>
  </si>
  <si>
    <t xml:space="preserve">Scheduling app</t>
  </si>
  <si>
    <t xml:space="preserve">Online booking</t>
  </si>
  <si>
    <t xml:space="preserve">City Power &amp; Light</t>
  </si>
  <si>
    <t xml:space="preserve">Electric (home office share)</t>
  </si>
  <si>
    <t xml:space="preserve">FiberNet</t>
  </si>
  <si>
    <t xml:space="preserve">Internet</t>
  </si>
  <si>
    <t xml:space="preserve">Mobile carrier</t>
  </si>
  <si>
    <t xml:space="preserve">Business phone line</t>
  </si>
  <si>
    <t xml:space="preserve">Local attorney</t>
  </si>
  <si>
    <t xml:space="preserve">Client contract template</t>
  </si>
  <si>
    <t xml:space="preserve">Insurance agency</t>
  </si>
  <si>
    <t xml:space="preserve">General liability + E&amp;O</t>
  </si>
  <si>
    <t xml:space="preserve">Web host</t>
  </si>
  <si>
    <t xml:space="preserve">Hosting</t>
  </si>
  <si>
    <t xml:space="preserve">Domain registrar</t>
  </si>
  <si>
    <t xml:space="preserve">Domain renewals</t>
  </si>
  <si>
    <t xml:space="preserve">Client lunch</t>
  </si>
  <si>
    <t xml:space="preserve">Lunch with client</t>
  </si>
  <si>
    <t xml:space="preserve">Chamber of commerce</t>
  </si>
  <si>
    <t xml:space="preserve">Annual dues</t>
  </si>
  <si>
    <t xml:space="preserve">Stock photo site</t>
  </si>
  <si>
    <t xml:space="preserve">Monthly downloads</t>
  </si>
  <si>
    <t xml:space="preserve">Owner</t>
  </si>
  <si>
    <t xml:space="preserve">Owner pay</t>
  </si>
  <si>
    <t xml:space="preserve">Freelance designer</t>
  </si>
  <si>
    <t xml:space="preserve">Design support</t>
  </si>
  <si>
    <t xml:space="preserve">Meta Ads</t>
  </si>
  <si>
    <t xml:space="preserve">Lead gen campaign</t>
  </si>
  <si>
    <t xml:space="preserve">VA Services Co.</t>
  </si>
  <si>
    <t xml:space="preserve">Freelance writer</t>
  </si>
  <si>
    <t xml:space="preserve">Blog posts</t>
  </si>
  <si>
    <t xml:space="preserve">Chamber networking</t>
  </si>
  <si>
    <t xml:space="preserve">Monthly breakfast</t>
  </si>
  <si>
    <t xml:space="preserve">Mileage log</t>
  </si>
  <si>
    <t xml:space="preserve">Client visits: 128 miles x $0.725</t>
  </si>
  <si>
    <t xml:space="preserve">Bank</t>
  </si>
  <si>
    <t xml:space="preserve">Monthly fees + card processing</t>
  </si>
  <si>
    <t xml:space="preserve">Office supply store</t>
  </si>
  <si>
    <t xml:space="preserve">Paper, ink, notebooks</t>
  </si>
  <si>
    <t xml:space="preserve">Online course</t>
  </si>
  <si>
    <t xml:space="preserve">Pricing + proposals course</t>
  </si>
  <si>
    <t xml:space="preserve">LinkedIn Ads</t>
  </si>
  <si>
    <t xml:space="preserve">Print shop</t>
  </si>
  <si>
    <t xml:space="preserve">Business cards</t>
  </si>
  <si>
    <t xml:space="preserve">Client visits: 76 miles x $0.725</t>
  </si>
  <si>
    <t xml:space="preserve">Google Ads</t>
  </si>
  <si>
    <t xml:space="preserve">CPA firm</t>
  </si>
  <si>
    <t xml:space="preserve">Last year's tax prep</t>
  </si>
  <si>
    <t xml:space="preserve">Freelance developer</t>
  </si>
  <si>
    <t xml:space="preserve">Ironclad site build</t>
  </si>
  <si>
    <t xml:space="preserve">Client visits: 104 miles x $0.725</t>
  </si>
  <si>
    <t xml:space="preserve">IRS / state</t>
  </si>
  <si>
    <t xml:space="preserve">Quarterly estimated tax</t>
  </si>
  <si>
    <t xml:space="preserve">Regional expo</t>
  </si>
  <si>
    <t xml:space="preserve">Trade show booth</t>
  </si>
  <si>
    <t xml:space="preserve">Client visits: 90 miles x $0.725</t>
  </si>
  <si>
    <t xml:space="preserve">Post cards</t>
  </si>
  <si>
    <t xml:space="preserve">Client visits: 78 miles x $0.725</t>
  </si>
  <si>
    <t xml:space="preserve">Client visits: 134 miles x $0.725</t>
  </si>
  <si>
    <t xml:space="preserve">Promo company</t>
  </si>
  <si>
    <t xml:space="preserve">Branded pens + koozies</t>
  </si>
  <si>
    <t xml:space="preserve">Client visits: 112 miles x $0.725</t>
  </si>
  <si>
    <t xml:space="preserve">Online ordering setup</t>
  </si>
  <si>
    <t xml:space="preserve">Client visits: 101 miles x $0.725</t>
  </si>
  <si>
    <t xml:space="preserve">Lunch with prospect</t>
  </si>
  <si>
    <t xml:space="preserve">Client visits: 94 miles x $0.725</t>
  </si>
  <si>
    <t xml:space="preserve">Profit &amp; Loss</t>
  </si>
  <si>
    <t xml:space="preserve">Month by month: what came in, what went out and what's left. Everything here calculates. Don't type on this tab.</t>
  </si>
  <si>
    <t xml:space="preserve">Year total</t>
  </si>
  <si>
    <t xml:space="preserve">% of revenue</t>
  </si>
  <si>
    <t xml:space="preserve">REVENUE BY CLIENT</t>
  </si>
  <si>
    <t xml:space="preserve">Other (client not on the Clients tab)</t>
  </si>
  <si>
    <t xml:space="preserve">TOTAL REVENUE</t>
  </si>
  <si>
    <t xml:space="preserve">COST TO DELIVER</t>
  </si>
  <si>
    <t xml:space="preserve">Contractors &amp; vendors</t>
  </si>
  <si>
    <t xml:space="preserve">GROSS PROFIT</t>
  </si>
  <si>
    <t xml:space="preserve">Gross margin</t>
  </si>
  <si>
    <t xml:space="preserve">OPERATING EXPENSES</t>
  </si>
  <si>
    <t xml:space="preserve">Marketing &amp; advertising</t>
  </si>
  <si>
    <t xml:space="preserve">TOTAL BUSINESS EXPENSES</t>
  </si>
  <si>
    <t xml:space="preserve">THE BOTTOM LINE</t>
  </si>
  <si>
    <t xml:space="preserve">NET PROFIT (before you pay yourself)</t>
  </si>
  <si>
    <t xml:space="preserve">Net profit margin</t>
  </si>
  <si>
    <t xml:space="preserve">Set aside for taxes</t>
  </si>
  <si>
    <t xml:space="preserve">LEFT IN THE BUSINESS</t>
  </si>
  <si>
    <t xml:space="preserve">Marketing &amp; advertising as % of revenue</t>
  </si>
  <si>
    <t xml:space="preserve">TIME (from the Time Log)</t>
  </si>
  <si>
    <t xml:space="preserve">Non-billable hours</t>
  </si>
  <si>
    <t xml:space="preserve">Total hours worked</t>
  </si>
  <si>
    <t xml:space="preserve">Billable % (utilization)</t>
  </si>
  <si>
    <t xml:space="preserve">Billable hours goal</t>
  </si>
  <si>
    <t xml:space="preserve">Revenue per billable hour</t>
  </si>
  <si>
    <t xml:space="preserve">Effective hourly rate (revenue / ALL hours)</t>
  </si>
  <si>
    <t xml:space="preserve">HOURS BY CLIENT</t>
  </si>
  <si>
    <t xml:space="preserve">Expenses by Category</t>
  </si>
  <si>
    <t xml:space="preserve">Actual spending by category every month, and how you're doing against budget through the month picked on the Dashboard.</t>
  </si>
  <si>
    <t xml:space="preserve">Budget so far</t>
  </si>
  <si>
    <t xml:space="preserve">Spent so far</t>
  </si>
  <si>
    <t xml:space="preserve">Left</t>
  </si>
  <si>
    <t xml:space="preserve">% used</t>
  </si>
  <si>
    <t xml:space="preserve">Not categorized (fix on Expenses tab)</t>
  </si>
  <si>
    <t xml:space="preserve">TOTAL (including owner pay + taxes)</t>
  </si>
  <si>
    <t xml:space="preserve">Totals by group</t>
  </si>
  <si>
    <t xml:space="preserve">Cash Flow &amp; Taxes</t>
  </si>
  <si>
    <t xml:space="preserve">Profit is an opinion. Cash is a fact. This tab shows what's really in the bank, how much of it belongs to the tax man and how long you could survive a slow stretch.</t>
  </si>
  <si>
    <t xml:space="preserve">CASH</t>
  </si>
  <si>
    <t xml:space="preserve">Starting cash</t>
  </si>
  <si>
    <t xml:space="preserve">Cash in: client payments</t>
  </si>
  <si>
    <t xml:space="preserve">Cash out: business expenses</t>
  </si>
  <si>
    <t xml:space="preserve">Cash out: owner pay / draws</t>
  </si>
  <si>
    <t xml:space="preserve">Cash out: tax payments</t>
  </si>
  <si>
    <t xml:space="preserve">Net cash flow</t>
  </si>
  <si>
    <t xml:space="preserve">ENDING CASH</t>
  </si>
  <si>
    <t xml:space="preserve">TAXES</t>
  </si>
  <si>
    <t xml:space="preserve">Cash profit this month (cash in minus business expenses)</t>
  </si>
  <si>
    <t xml:space="preserve">Set aside for taxes this month</t>
  </si>
  <si>
    <t xml:space="preserve">Tax money you should be holding</t>
  </si>
  <si>
    <t xml:space="preserve">Cash that's actually yours (ending cash minus tax money)</t>
  </si>
  <si>
    <t xml:space="preserve">Months of runway (your cash / avg monthly spending)</t>
  </si>
  <si>
    <t xml:space="preserve">PLAN AHEAD (type your expected revenue each month)</t>
  </si>
  <si>
    <t xml:space="preserve">Expected revenue</t>
  </si>
  <si>
    <t xml:space="preserve">Planned business expenses (from Settings)</t>
  </si>
  <si>
    <t xml:space="preserve">Planned owner pay (from Settings)</t>
  </si>
  <si>
    <t xml:space="preserve">Planned tax set-aside</t>
  </si>
  <si>
    <t xml:space="preserve">Planned cash left over</t>
  </si>
  <si>
    <t xml:space="preserve">Actual revenue vs. plan</t>
  </si>
  <si>
    <t xml:space="preserve">Projected ending cash (actual, then plan)</t>
  </si>
  <si>
    <t xml:space="preserve">Projected cash keeps your tax money in the bank until you actually pay it. Plan the payments below.</t>
  </si>
  <si>
    <t xml:space="preserve">US quarterly estimated taxes</t>
  </si>
  <si>
    <t xml:space="preserve">Covers from</t>
  </si>
  <si>
    <t xml:space="preserve">Through</t>
  </si>
  <si>
    <t xml:space="preserve">Set aside</t>
  </si>
  <si>
    <t xml:space="preserve">Payment 1</t>
  </si>
  <si>
    <t xml:space="preserve">Payment 2</t>
  </si>
  <si>
    <t xml:space="preserve">Payment 3</t>
  </si>
  <si>
    <t xml:space="preserve">Payment 4</t>
  </si>
  <si>
    <t xml:space="preserve">Dates are the usual US federal deadlines (they shift when they land on a weekend or holiday). Your state may have its own. Safe harbor rules can lower what you owe each quarter... ask your accountant for your exact amounts.</t>
  </si>
  <si>
    <t xml:space="preserve">Rate Calculator</t>
  </si>
  <si>
    <t xml:space="preserve">Do this before you quote anyone. Guessing your rate is how you end up working 60 hours a week for less than your nephew makes at the drive-thru.</t>
  </si>
  <si>
    <t xml:space="preserve">1. WHAT SHOULD I CHARGE PER HOUR?</t>
  </si>
  <si>
    <t xml:space="preserve">What you want to pay yourself this year</t>
  </si>
  <si>
    <t xml:space="preserve">Before taxes. Be honest. You're not running a charity.</t>
  </si>
  <si>
    <t xml:space="preserve">Health insurance &amp; benefits (per year)</t>
  </si>
  <si>
    <t xml:space="preserve">Nobody's paying this for you anymore.</t>
  </si>
  <si>
    <t xml:space="preserve">Retirement savings (per year)</t>
  </si>
  <si>
    <t xml:space="preserve">Future you says thanks.</t>
  </si>
  <si>
    <t xml:space="preserve">Business costs per year (overhead + marketing)</t>
  </si>
  <si>
    <t xml:space="preserve">From your Settings budget. Contractors get priced into each project instead.</t>
  </si>
  <si>
    <t xml:space="preserve">Tax rate</t>
  </si>
  <si>
    <t xml:space="preserve">From Settings.</t>
  </si>
  <si>
    <t xml:space="preserve">Profit cushion</t>
  </si>
  <si>
    <t xml:space="preserve">For slow months, new gear and growth. 10% to 20% is smart.</t>
  </si>
  <si>
    <t xml:space="preserve">Revenue you need this year</t>
  </si>
  <si>
    <t xml:space="preserve">Your pay, grossed up for taxes, plus costs, plus cushion.</t>
  </si>
  <si>
    <t xml:space="preserve">Weeks off per year</t>
  </si>
  <si>
    <t xml:space="preserve">Vacation, holidays, sick days and the week your kid brings home strep.</t>
  </si>
  <si>
    <t xml:space="preserve">Hours you want to work per week</t>
  </si>
  <si>
    <t xml:space="preserve">Most solo pros bill 50% to 75% of their time. The rest is sales, admin and marketing.</t>
  </si>
  <si>
    <t xml:space="preserve">Billable hours per year</t>
  </si>
  <si>
    <t xml:space="preserve">Minimum hourly rate</t>
  </si>
  <si>
    <t xml:space="preserve">YOUR TARGET RATE</t>
  </si>
  <si>
    <t xml:space="preserve">Rounded up to the next $5. Charge at least this.</t>
  </si>
  <si>
    <t xml:space="preserve">Your effective rate so far this year</t>
  </si>
  <si>
    <t xml:space="preserve">Revenue divided by ALL the hours you logged, through the Dashboard month.</t>
  </si>
  <si>
    <t xml:space="preserve">Gap</t>
  </si>
  <si>
    <t xml:space="preserve">2. RETAINER BUILDER</t>
  </si>
  <si>
    <t xml:space="preserve">Hours per month included</t>
  </si>
  <si>
    <t xml:space="preserve">Starts at your target rate. Type over it if you want.</t>
  </si>
  <si>
    <t xml:space="preserve">Retainer discount</t>
  </si>
  <si>
    <t xml:space="preserve">A small discount for guaranteed monthly money. 5% to 15% is plenty.</t>
  </si>
  <si>
    <t xml:space="preserve">MONTHLY RETAINER</t>
  </si>
  <si>
    <t xml:space="preserve">Rounded up to the next $50. Bill on the 1st, before the work.</t>
  </si>
  <si>
    <t xml:space="preserve">Rate for hours over the retainer</t>
  </si>
  <si>
    <t xml:space="preserve">Extra hours cost MORE, not less. Put this in the contract.</t>
  </si>
  <si>
    <t xml:space="preserve">3. PROJECT PRICE BUILDER</t>
  </si>
  <si>
    <t xml:space="preserve">Estimated hours</t>
  </si>
  <si>
    <t xml:space="preserve">Break the project into steps, estimate each one, then add them up.</t>
  </si>
  <si>
    <t xml:space="preserve">Starts at your target rate.</t>
  </si>
  <si>
    <t xml:space="preserve">Scope creep buffer</t>
  </si>
  <si>
    <t xml:space="preserve">Every project grows. Every. Single. One.</t>
  </si>
  <si>
    <t xml:space="preserve">Contractor / vendor costs</t>
  </si>
  <si>
    <t xml:space="preserve">Developers, designers, printers you'll pay.</t>
  </si>
  <si>
    <t xml:space="preserve">Markup on contractor costs</t>
  </si>
  <si>
    <t xml:space="preserve">You manage them, you're on the hook for their work. Charge for it.</t>
  </si>
  <si>
    <t xml:space="preserve">PROJECT PRICE</t>
  </si>
  <si>
    <t xml:space="preserve">Quote the price, not the hours.</t>
  </si>
  <si>
    <t xml:space="preserve">Deposit to collect up front</t>
  </si>
  <si>
    <t xml:space="preserve">30% to 50% is standard. No deposit, no start date.</t>
  </si>
  <si>
    <t xml:space="preserve">Deposit amount</t>
  </si>
  <si>
    <t xml:space="preserve">4. BREAK EVEN: HOW MUCH WORK DO I NEED?</t>
  </si>
  <si>
    <t xml:space="preserve">Monthly overhead + marketing budget</t>
  </si>
  <si>
    <t xml:space="preserve">Monthly contractor budget</t>
  </si>
  <si>
    <t xml:space="preserve">Monthly owner pay</t>
  </si>
  <si>
    <t xml:space="preserve">Your average hourly rate</t>
  </si>
  <si>
    <t xml:space="preserve">Your effective rate so far (or your target rate if you're just starting).</t>
  </si>
  <si>
    <t xml:space="preserve">Billable hours per month to cover the business</t>
  </si>
  <si>
    <t xml:space="preserve">Below this you're losing money.</t>
  </si>
  <si>
    <t xml:space="preserve">Billable hours per month to cover the business AND pay you</t>
  </si>
  <si>
    <t xml:space="preserve">Owner pay is grossed up for taxes.</t>
  </si>
  <si>
    <t xml:space="preserve">...that's this many billable hours per week</t>
  </si>
  <si>
    <t xml:space="preserve">Average monthly revenue per active client</t>
  </si>
  <si>
    <t xml:space="preserve">Revenue so far, divided by months, divided by active clients.</t>
  </si>
  <si>
    <t xml:space="preserve">Active clients you need to cover everything</t>
  </si>
  <si>
    <t xml:space="preserve">Prospects &amp; Pipeline</t>
  </si>
  <si>
    <t xml:space="preserve">Next month's revenue starts here. Track every prospect, the next step and when. Weighted value = deal value x the chance you'll win it.</t>
  </si>
  <si>
    <t xml:space="preserve">Open deals</t>
  </si>
  <si>
    <t xml:space="preserve">Weighted pipeline (open)</t>
  </si>
  <si>
    <t xml:space="preserve">Won this year</t>
  </si>
  <si>
    <t xml:space="preserve">Follow ups overdue</t>
  </si>
  <si>
    <t xml:space="preserve">Prospect name</t>
  </si>
  <si>
    <t xml:space="preserve">Company</t>
  </si>
  <si>
    <t xml:space="preserve">Service they need</t>
  </si>
  <si>
    <t xml:space="preserve">Est. monthly value</t>
  </si>
  <si>
    <t xml:space="preserve">Months</t>
  </si>
  <si>
    <t xml:space="preserve">Deal value</t>
  </si>
  <si>
    <t xml:space="preserve">Stage</t>
  </si>
  <si>
    <t xml:space="preserve">Weighted value</t>
  </si>
  <si>
    <t xml:space="preserve">Last contact</t>
  </si>
  <si>
    <t xml:space="preserve">Next step</t>
  </si>
  <si>
    <t xml:space="preserve">Next step date</t>
  </si>
  <si>
    <t xml:space="preserve">Heads up</t>
  </si>
  <si>
    <t xml:space="preserve">Rachel Kim</t>
  </si>
  <si>
    <t xml:space="preserve">Summit Roofing</t>
  </si>
  <si>
    <t xml:space="preserve">rachel@summit-example.com</t>
  </si>
  <si>
    <t xml:space="preserve">(555) 010-1200</t>
  </si>
  <si>
    <t xml:space="preserve">summit-example.com</t>
  </si>
  <si>
    <t xml:space="preserve">Google Ads + website</t>
  </si>
  <si>
    <t xml:space="preserve">Follow up on proposal</t>
  </si>
  <si>
    <t xml:space="preserve">Marcus Hill</t>
  </si>
  <si>
    <t xml:space="preserve">Riverbend Credit Union</t>
  </si>
  <si>
    <t xml:space="preserve">marcus@riverbend-example.com</t>
  </si>
  <si>
    <t xml:space="preserve">(555) 011-1237</t>
  </si>
  <si>
    <t xml:space="preserve">riverbend-example.com</t>
  </si>
  <si>
    <t xml:space="preserve">Brand refresh</t>
  </si>
  <si>
    <t xml:space="preserve">Discovery meeting</t>
  </si>
  <si>
    <t xml:space="preserve">Jenna Cole</t>
  </si>
  <si>
    <t xml:space="preserve">Greenway Landscaping</t>
  </si>
  <si>
    <t xml:space="preserve">jenna@greenway-example.com</t>
  </si>
  <si>
    <t xml:space="preserve">(555) 012-1274</t>
  </si>
  <si>
    <t xml:space="preserve">greenway-example.com</t>
  </si>
  <si>
    <t xml:space="preserve">Send case study</t>
  </si>
  <si>
    <t xml:space="preserve">Victor Alvarez</t>
  </si>
  <si>
    <t xml:space="preserve">Alvarez Auto Body</t>
  </si>
  <si>
    <t xml:space="preserve">victor@alvarez-example.com</t>
  </si>
  <si>
    <t xml:space="preserve">(555) 013-1311</t>
  </si>
  <si>
    <t xml:space="preserve">alvarez-example.com</t>
  </si>
  <si>
    <t xml:space="preserve">Review program + ads</t>
  </si>
  <si>
    <t xml:space="preserve">Intro call</t>
  </si>
  <si>
    <t xml:space="preserve">Hannah Price</t>
  </si>
  <si>
    <t xml:space="preserve">Brightside Pediatrics</t>
  </si>
  <si>
    <t xml:space="preserve">hannah@brightside-example.com</t>
  </si>
  <si>
    <t xml:space="preserve">(555) 014-1348</t>
  </si>
  <si>
    <t xml:space="preserve">brightside-example.com</t>
  </si>
  <si>
    <t xml:space="preserve">Send revised scope</t>
  </si>
  <si>
    <t xml:space="preserve">Dev Patel</t>
  </si>
  <si>
    <t xml:space="preserve">Patel Insurance Group</t>
  </si>
  <si>
    <t xml:space="preserve">dev@patel-example.com</t>
  </si>
  <si>
    <t xml:space="preserve">(555) 015-1385</t>
  </si>
  <si>
    <t xml:space="preserve">patel-example.com</t>
  </si>
  <si>
    <t xml:space="preserve">Monthly retainer</t>
  </si>
  <si>
    <t xml:space="preserve">Check in</t>
  </si>
  <si>
    <t xml:space="preserve">Lisa Grant</t>
  </si>
  <si>
    <t xml:space="preserve">Oak &amp; Iron Furniture</t>
  </si>
  <si>
    <t xml:space="preserve">lisa@oak-example.com</t>
  </si>
  <si>
    <t xml:space="preserve">(555) 016-1422</t>
  </si>
  <si>
    <t xml:space="preserve">oak-example.com</t>
  </si>
  <si>
    <t xml:space="preserve">Holiday campaign</t>
  </si>
  <si>
    <t xml:space="preserve">Kickoff</t>
  </si>
  <si>
    <t xml:space="preserve">Ben Torres</t>
  </si>
  <si>
    <t xml:space="preserve">Torres Plumbing</t>
  </si>
  <si>
    <t xml:space="preserve">ben@torres-example.com</t>
  </si>
  <si>
    <t xml:space="preserve">(555) 017-1459</t>
  </si>
  <si>
    <t xml:space="preserve">torres-example.com</t>
  </si>
  <si>
    <t xml:space="preserve">Google Business Profile</t>
  </si>
  <si>
    <t xml:space="preserve">Amy Walsh</t>
  </si>
  <si>
    <t xml:space="preserve">Walsh Family Farms</t>
  </si>
  <si>
    <t xml:space="preserve">amy@walsh-example.com</t>
  </si>
  <si>
    <t xml:space="preserve">(555) 018-1496</t>
  </si>
  <si>
    <t xml:space="preserve">walsh-example.com</t>
  </si>
  <si>
    <t xml:space="preserve">Farm stand signage</t>
  </si>
  <si>
    <t xml:space="preserve">Money Tips, Numbers &amp; Formulas</t>
  </si>
  <si>
    <t xml:space="preserve">The stuff nobody tells you when you start a business... until April.</t>
  </si>
  <si>
    <t xml:space="preserve">BOOKKEEPING HABITS THAT KEEP YOU OUT OF TROUBLE</t>
  </si>
  <si>
    <t xml:space="preserve">Separate your money</t>
  </si>
  <si>
    <t xml:space="preserve">Open a business checking account and a business credit card on day one. Mixing personal and business money is how a 2 hour tax prep turns into a 2 week nightmare.</t>
  </si>
  <si>
    <t xml:space="preserve">Schedule a money date</t>
  </si>
  <si>
    <t xml:space="preserve">30 minutes every Friday. Log your time, send invoices, log expenses, snap receipts. Put it on your calendar like a client meeting... because it's the most important client you have.</t>
  </si>
  <si>
    <t xml:space="preserve">Snap receipts right away</t>
  </si>
  <si>
    <t xml:space="preserve">Phone photo into a folder or your accounting app the second you get one. For meals, write who you met and why on the receipt.</t>
  </si>
  <si>
    <t xml:space="preserve">Invoice fast</t>
  </si>
  <si>
    <t xml:space="preserve">Invoice the day the work is done, or on a set schedule. Every day you wait, you're a free bank for your client.</t>
  </si>
  <si>
    <t xml:space="preserve">Get a W-9 before you pay contractors</t>
  </si>
  <si>
    <t xml:space="preserve">For payments made in 2026, the 1099-NEC reporting threshold went from $600 to $2,000 per contractor. Collect a W-9 up front anyway and let your accountant handle the filing rules.</t>
  </si>
  <si>
    <t xml:space="preserve">Track mileage as you go</t>
  </si>
  <si>
    <t xml:space="preserve">The IRS standard mileage rate for business driving is 72.5 cents per mile for 2026. Log the date, miles and purpose. Recreating it in March never works.</t>
  </si>
  <si>
    <t xml:space="preserve">Pay yourself on purpose</t>
  </si>
  <si>
    <t xml:space="preserve">Pick an owner pay amount and pay it on the same day every month. "Whatever's left" is not a salary, it's a lottery ticket.</t>
  </si>
  <si>
    <t xml:space="preserve">Set aside taxes from every payment</t>
  </si>
  <si>
    <t xml:space="preserve">When a payment lands, move your tax set-aside % into a separate savings account that same day. Out of sight, out of spending range.</t>
  </si>
  <si>
    <t xml:space="preserve">Know the quarterly tax dates</t>
  </si>
  <si>
    <t xml:space="preserve">Most self-employed folks in the US pay estimated taxes 4 times a year: April 15, June 15, September 15 and January 15. The Cash Flow &amp; Taxes tab tracks them for you.</t>
  </si>
  <si>
    <t xml:space="preserve">Build a cushion</t>
  </si>
  <si>
    <t xml:space="preserve">Aim for 3 to 6 months of expenses in the bank. That's your "a big client went quiet" fund. The Dashboard shows your runway.</t>
  </si>
  <si>
    <t xml:space="preserve">Review monthly</t>
  </si>
  <si>
    <t xml:space="preserve">Pick the month on the Dashboard and look at it for 15 minutes. Are you ahead of goal? Who's paying late? What's creeping up? Make one decision.</t>
  </si>
  <si>
    <t xml:space="preserve">Upgrade when you outgrow it</t>
  </si>
  <si>
    <t xml:space="preserve">Accounting software (QuickBooks, Xero, FreshBooks, Wave and others) can connect to your bank and auto-sort most transactions. Keep using this workbook for planning, pricing and the big picture.</t>
  </si>
  <si>
    <t xml:space="preserve">GETTING PAID FASTER</t>
  </si>
  <si>
    <t xml:space="preserve">Ask for deposits</t>
  </si>
  <si>
    <t xml:space="preserve">30% to 50% up front on projects. No deposit, no start date. Clients who balk at a deposit are telling you something.</t>
  </si>
  <si>
    <t xml:space="preserve">Shorten your terms</t>
  </si>
  <si>
    <t xml:space="preserve">Net 15 beats Net 30. "Due on receipt" is perfectly fine for small jobs.</t>
  </si>
  <si>
    <t xml:space="preserve">Make it easy to pay</t>
  </si>
  <si>
    <t xml:space="preserve">Put an ACH and a card payment link on every invoice. Card fees cost about 3%. Waiting 45 days for a check costs more.</t>
  </si>
  <si>
    <t xml:space="preserve">Bill retainers up front</t>
  </si>
  <si>
    <t xml:space="preserve">Invoice on the 1st, before the work. Set up autopay if you can.</t>
  </si>
  <si>
    <t xml:space="preserve">Use a late fee</t>
  </si>
  <si>
    <t xml:space="preserve">Put it in your contract, put it on the invoice and actually use it. Check what's allowed where you do business.</t>
  </si>
  <si>
    <t xml:space="preserve">Follow up like a pro</t>
  </si>
  <si>
    <t xml:space="preserve">Friendly reminder 3 days before it's due. Another the day after. A phone call at 15 days late. Use the AI Prompts tab to write the emails.</t>
  </si>
  <si>
    <t xml:space="preserve">THE NUMBERS THAT MATTER</t>
  </si>
  <si>
    <t xml:space="preserve">Metric</t>
  </si>
  <si>
    <t xml:space="preserve">How it's calculated</t>
  </si>
  <si>
    <t xml:space="preserve">What good looks like</t>
  </si>
  <si>
    <t xml:space="preserve">Everything you billed (or collected, depending on your Settings).</t>
  </si>
  <si>
    <t xml:space="preserve">On pace with your goal every month.</t>
  </si>
  <si>
    <t xml:space="preserve">Revenue minus business expenses (before you pay yourself).</t>
  </si>
  <si>
    <t xml:space="preserve">Growing every quarter. Watch the trend, not one month.</t>
  </si>
  <si>
    <t xml:space="preserve">Net profit / revenue.</t>
  </si>
  <si>
    <t xml:space="preserve">Higher is better. If it shrinks while revenue grows, your costs are sneaking up.</t>
  </si>
  <si>
    <t xml:space="preserve">Billable hours / all hours worked.</t>
  </si>
  <si>
    <t xml:space="preserve">Many solo pros aim for 60% to 75%. Over 85% and there's no time left to sell (or breathe).</t>
  </si>
  <si>
    <t xml:space="preserve">Revenue / ALL hours worked, billable or not.</t>
  </si>
  <si>
    <t xml:space="preserve">At or above your target rate from the Rate Calculator.</t>
  </si>
  <si>
    <t xml:space="preserve">Average days from invoice date to payment.</t>
  </si>
  <si>
    <t xml:space="preserve">At or under your payment terms.</t>
  </si>
  <si>
    <t xml:space="preserve">Client concentration</t>
  </si>
  <si>
    <t xml:space="preserve">Your biggest client / total billing.</t>
  </si>
  <si>
    <t xml:space="preserve">Under 25%. Over that and one email can wreck your year.</t>
  </si>
  <si>
    <t xml:space="preserve">Marketing % of revenue</t>
  </si>
  <si>
    <t xml:space="preserve">Marketing and advertising / revenue.</t>
  </si>
  <si>
    <t xml:space="preserve">The SBA has long suggested about 7% to 8% for small businesses. Brand new businesses often spend more to get rolling.</t>
  </si>
  <si>
    <t xml:space="preserve">Runway</t>
  </si>
  <si>
    <t xml:space="preserve">Cash that's actually yours / average monthly spending.</t>
  </si>
  <si>
    <t xml:space="preserve">3 to 6 months.</t>
  </si>
  <si>
    <t xml:space="preserve">Break even hours</t>
  </si>
  <si>
    <t xml:space="preserve">Monthly costs / your average rate.</t>
  </si>
  <si>
    <t xml:space="preserve">Know this number cold. It's on the Rate Calculator.</t>
  </si>
  <si>
    <t xml:space="preserve">EXCEL FORMULAS THIS WORKBOOK USES (STEAL THEM)</t>
  </si>
  <si>
    <t xml:space="preserve">Formula</t>
  </si>
  <si>
    <t xml:space="preserve">What it does</t>
  </si>
  <si>
    <t xml:space="preserve">Example</t>
  </si>
  <si>
    <t xml:space="preserve">SUMIFS</t>
  </si>
  <si>
    <t xml:space="preserve">Adds up numbers that match one or more conditions. The workhorse of this whole file.</t>
  </si>
  <si>
    <t xml:space="preserve">SUMIFS(Invoices!E:E, Invoices!C:C, "Copperline HVAC") adds up everything you billed one client.</t>
  </si>
  <si>
    <t xml:space="preserve">COUNTIFS</t>
  </si>
  <si>
    <t xml:space="preserve">Counts rows that match conditions.</t>
  </si>
  <si>
    <t xml:space="preserve">COUNTIF(Invoices!L:L, "Overdue") counts overdue invoices.</t>
  </si>
  <si>
    <t xml:space="preserve">INDEX + MATCH</t>
  </si>
  <si>
    <t xml:space="preserve">Looks something up in a list. Works in every version of Excel.</t>
  </si>
  <si>
    <t xml:space="preserve">INDEX(Clients!F:F, MATCH(B6, Clients!B:B, 0)) pulls a client's hourly rate into the Time Log.</t>
  </si>
  <si>
    <t xml:space="preserve">EOMONTH</t>
  </si>
  <si>
    <t xml:space="preserve">Finds the last day of a month. Perfect for monthly date ranges.</t>
  </si>
  <si>
    <t xml:space="preserve">EOMONTH(B5, 0) turns Jan 1 into Jan 31.</t>
  </si>
  <si>
    <t xml:space="preserve">TODAY + IF</t>
  </si>
  <si>
    <t xml:space="preserve">Flags things based on today's date.</t>
  </si>
  <si>
    <t xml:space="preserve">IF(TODAY() &gt; G6, "Overdue", "Open") is how invoices know they're late.</t>
  </si>
  <si>
    <t xml:space="preserve">IFERROR</t>
  </si>
  <si>
    <t xml:space="preserve">Shows something friendly instead of an ugly error.</t>
  </si>
  <si>
    <t xml:space="preserve">IFERROR(AVERAGE(O6:O505), "") stays blank until you have data.</t>
  </si>
  <si>
    <t xml:space="preserve">CEILING</t>
  </si>
  <si>
    <t xml:space="preserve">Rounds UP to the nearest amount you pick.</t>
  </si>
  <si>
    <t xml:space="preserve">CEILING(132.40, 5) = 135. Round your rates up, never down.</t>
  </si>
  <si>
    <t xml:space="preserve">MAX(0, x)</t>
  </si>
  <si>
    <t xml:space="preserve">Never lets a number go below zero.</t>
  </si>
  <si>
    <t xml:space="preserve">MAX(0, profit) x tax % so a losing month doesn't set aside negative taxes.</t>
  </si>
  <si>
    <t xml:space="preserve">SUMPRODUCT</t>
  </si>
  <si>
    <t xml:space="preserve">Multiplies and adds in one shot. Used for year-to-date math.</t>
  </si>
  <si>
    <t xml:space="preserve">Adds Jan through the month you pick on the Dashboard.</t>
  </si>
  <si>
    <t xml:space="preserve">THE FINE PRINT</t>
  </si>
  <si>
    <t xml:space="preserve">This workbook is a planning and tracking tool, not tax, legal or accounting advice. Tax rules change and depend on where you live and how your business is set up. Run your numbers by a CPA or tax pro... and buy them coffee. Sources: IRS 2026 standard mileage rate announcement; One Big Beautiful Bill Act changes to 1099 reporting thresholds; SBA marketing budget guidance.</t>
  </si>
  <si>
    <t xml:space="preserve">AI Prompts for Your Money Stuff</t>
  </si>
  <si>
    <t xml:space="preserve">Copy, paste, fill in the [brackets]. Works in ChatGPT, Claude, Gemini or Copilot. AI does the boring part. You make the decisions.</t>
  </si>
  <si>
    <t xml:space="preserve">When you want to...</t>
  </si>
  <si>
    <t xml:space="preserve">Copy this prompt</t>
  </si>
  <si>
    <t xml:space="preserve">Pro tip</t>
  </si>
  <si>
    <t xml:space="preserve">GET SET UP</t>
  </si>
  <si>
    <t xml:space="preserve">Set up this workbook</t>
  </si>
  <si>
    <t xml:space="preserve">I'm starting a [type of] business. I'll offer [services] to [ideal clients] in [area]. Ask me 5 questions, then give me: a list of expense categories with a realistic monthly budget for each, a year one revenue goal, and the billable hours per week I'd need to hit it. Format the categories as a table I can paste into Excel.</t>
  </si>
  <si>
    <t xml:space="preserve">Paste the table straight into the Settings tab.</t>
  </si>
  <si>
    <t xml:space="preserve">Price my services</t>
  </si>
  <si>
    <t xml:space="preserve">Act as a pricing coach for a solo [service] business. My target hourly rate is [$] (from my Rate Calculator). Build 3 package options (good, better, best) with a monthly price, what's included, what's NOT included, and how many hours each one takes me. Flag any package that drops my effective rate below target.</t>
  </si>
  <si>
    <t xml:space="preserve">Never price by the hour publicly if you can avoid it. Packages sell easier.</t>
  </si>
  <si>
    <t xml:space="preserve">Write my payment terms</t>
  </si>
  <si>
    <t xml:space="preserve">Draft plain English payment terms for my client contract: [deposit %] deposit, Net [15/30], a late fee of [amount], what happens if a project is paused, and a kill fee if the client cancels. Then list anything a lawyer should double check.</t>
  </si>
  <si>
    <t xml:space="preserve">AI drafts, your attorney approves.</t>
  </si>
  <si>
    <t xml:space="preserve">TRACK THE MONEY</t>
  </si>
  <si>
    <t xml:space="preserve">Sort my bank transactions</t>
  </si>
  <si>
    <t xml:space="preserve">Here's a CSV of my business transactions. Sort each one into these categories: [paste your category list from Settings]. Return a table with Date, Vendor, What it was for, Category and Amount that I can paste into my Expenses tab. Put anything you're not sure about in a category called Check this.</t>
  </si>
  <si>
    <t xml:space="preserve">Delete account numbers and personal info BEFORE you upload. Every time.</t>
  </si>
  <si>
    <t xml:space="preserve">Turn my time into an invoice</t>
  </si>
  <si>
    <t xml:space="preserve">Here are my time entries for [client] for [month]: [paste rows from the Time Log]. Turn them into clean invoice line items grouped by project, with hours and amount at [$] per hour. Keep descriptions short and client friendly.</t>
  </si>
  <si>
    <t xml:space="preserve">Clients pay faster when they understand what they're paying for.</t>
  </si>
  <si>
    <t xml:space="preserve">Find deductions to ask about</t>
  </si>
  <si>
    <t xml:space="preserve">Here are my expense categories and yearly totals: [paste]. I'm a [sole proprietor / LLC / S corp] in [state]. What common small business deductions should I ASK my accountant about that I might be missing? Give me questions, not advice.</t>
  </si>
  <si>
    <t xml:space="preserve">Bring the list to your CPA. They'll love you.</t>
  </si>
  <si>
    <t xml:space="preserve">GET PAID</t>
  </si>
  <si>
    <t xml:space="preserve">Send a friendly reminder</t>
  </si>
  <si>
    <t xml:space="preserve">Write a friendly but firm reminder email for invoice #[number] for [$], due [date], now [X] days late. Under 100 words. Include a spot for the payment link. No guilt trips, no groveling.</t>
  </si>
  <si>
    <t xml:space="preserve">Send it the day after the due date. Not two weeks later.</t>
  </si>
  <si>
    <t xml:space="preserve">Send a second notice</t>
  </si>
  <si>
    <t xml:space="preserve">Write a firmer second notice for invoice #[number], now [X] days past due. Mention the late fee in our contract ([amount]) and ask them to confirm a payment date by [date]. Professional, calm, zero wiggle room.</t>
  </si>
  <si>
    <t xml:space="preserve">Then pick up the phone.</t>
  </si>
  <si>
    <t xml:space="preserve">Raise my rates</t>
  </si>
  <si>
    <t xml:space="preserve">Write a short, confident email telling [client] my rate is going from [$] to [$] starting [date]. Thank them, mention one result I got for them ([result]), and don't apologize. Under 120 words.</t>
  </si>
  <si>
    <t xml:space="preserve">Give 30 to 60 days notice. Most clients just say OK.</t>
  </si>
  <si>
    <t xml:space="preserve">PLAN AND DECIDE</t>
  </si>
  <si>
    <t xml:space="preserve">Get a monthly review</t>
  </si>
  <si>
    <t xml:space="preserve">Act as my fractional CFO. I'm uploading my revenue planner workbook. Using ONLY the numbers in the file, tell me: am I on pace for my goal, which clients are most and least profitable per hour, where expenses are creeping up, and the 3 things I should do next month. Keep it blunt.</t>
  </si>
  <si>
    <t xml:space="preserve">Upload the whole file. Tell it the month you picked on the Dashboard.</t>
  </si>
  <si>
    <t xml:space="preserve">Forecast my cash</t>
  </si>
  <si>
    <t xml:space="preserve">Using the Cash Flow &amp; Taxes tab and my Pipeline tab (attached), project my cash for the next 3 months in a best case, likely case and worst case. Show the math and tell me the month I'd get nervous in the worst case.</t>
  </si>
  <si>
    <t xml:space="preserve">Do this before you sign a lease or hire anyone.</t>
  </si>
  <si>
    <t xml:space="preserve">Check client profitability</t>
  </si>
  <si>
    <t xml:space="preserve">Here's my Clients tab: [paste]. My target rate is [$]. Which clients are below my target effective rate? For each one, give me two options: raise the price or cut the scope, and a one paragraph script for the conversation.</t>
  </si>
  <si>
    <t xml:space="preserve">Sometimes the right answer is a polite breakup.</t>
  </si>
  <si>
    <t xml:space="preserve">Write an Excel formula</t>
  </si>
  <si>
    <t xml:space="preserve">Write an Excel formula that [what you want]. My data is on a tab called [tab] in columns [columns], starting in row [row]. Use SUMIFS or INDEX/MATCH so it works in older versions of Excel, and explain it in one sentence.</t>
  </si>
  <si>
    <t xml:space="preserve">Copilot in Excel and Gemini in Sheets can do this right in the file.</t>
  </si>
  <si>
    <t xml:space="preserve">Prep for year end</t>
  </si>
  <si>
    <t xml:space="preserve">Make me a year end bookkeeping checklist for a [type of] business: what to reconcile, what to send my accountant, which forms to collect from contractors and what to set up for next year. Put it in the order I should do it.</t>
  </si>
  <si>
    <t xml:space="preserve">Start it in early December, not January 30.</t>
  </si>
  <si>
    <t xml:space="preserve">AI SAFETY RULES FOR MONEY STUFF</t>
  </si>
  <si>
    <t xml:space="preserve">Never paste bank account numbers, card numbers, Social Security numbers or passwords into an AI tool.</t>
  </si>
  <si>
    <t xml:space="preserve">Check the math. AI is great at drafts and ideas and only so-so at arithmetic. The formulas in this workbook are your source of truth.</t>
  </si>
  <si>
    <t xml:space="preserve">AI is not your accountant or your attorney. Use it to get organized and ask better questions, then take those questions to the pros.</t>
  </si>
  <si>
    <t xml:space="preserve">Turn off chat history or training on your data if your AI tool offers that setting, especially when uploading client info.</t>
  </si>
</sst>
</file>

<file path=xl/styles.xml><?xml version="1.0" encoding="utf-8"?>
<styleSheet xmlns="http://schemas.openxmlformats.org/spreadsheetml/2006/main">
  <numFmts count="17">
    <numFmt numFmtId="164" formatCode="General"/>
    <numFmt numFmtId="165" formatCode="\$#,##0;&quot;($&quot;#,##0\);\-"/>
    <numFmt numFmtId="166" formatCode="\$#,##0;[RED]&quot;($&quot;#,##0\);\-"/>
    <numFmt numFmtId="167" formatCode="0%"/>
    <numFmt numFmtId="168" formatCode="#,##0.0;\(#,##0.0\);\-"/>
    <numFmt numFmtId="169" formatCode="0%;\(0%\);\-"/>
    <numFmt numFmtId="170" formatCode="General"/>
    <numFmt numFmtId="171" formatCode="#,##0"/>
    <numFmt numFmtId="172" formatCode="\$#,##0"/>
    <numFmt numFmtId="173" formatCode="0"/>
    <numFmt numFmtId="174" formatCode="mmm\ d&quot;, &quot;yyyy"/>
    <numFmt numFmtId="175" formatCode="0.00"/>
    <numFmt numFmtId="176" formatCode="\$#,##0.00;&quot;($&quot;#,##0.00\);\-"/>
    <numFmt numFmtId="177" formatCode="mmm"/>
    <numFmt numFmtId="178" formatCode="0.0"/>
    <numFmt numFmtId="179" formatCode="mmm\ d"/>
    <numFmt numFmtId="180" formatCode="#,##0.0"/>
  </numFmts>
  <fonts count="39">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i val="true"/>
      <sz val="9"/>
      <color rgb="FF6B6B6B"/>
      <name val="Arial"/>
      <family val="0"/>
      <charset val="1"/>
    </font>
    <font>
      <b val="true"/>
      <sz val="9"/>
      <color rgb="FF181818"/>
      <name val="Arial"/>
      <family val="0"/>
      <charset val="1"/>
    </font>
    <font>
      <b val="true"/>
      <sz val="12"/>
      <color rgb="FF181818"/>
      <name val="Arial"/>
      <family val="0"/>
      <charset val="1"/>
    </font>
    <font>
      <b val="true"/>
      <sz val="20"/>
      <color rgb="FF181818"/>
      <name val="Arial"/>
      <family val="0"/>
      <charset val="1"/>
    </font>
    <font>
      <sz val="11"/>
      <color rgb="FF6B6B6B"/>
      <name val="Arial"/>
      <family val="0"/>
      <charset val="1"/>
    </font>
    <font>
      <b val="true"/>
      <sz val="11"/>
      <color rgb="FF181818"/>
      <name val="Arial"/>
      <family val="0"/>
      <charset val="1"/>
    </font>
    <font>
      <b val="true"/>
      <sz val="12"/>
      <color rgb="FF0000FF"/>
      <name val="Arial"/>
      <family val="0"/>
      <charset val="1"/>
    </font>
    <font>
      <sz val="8"/>
      <color rgb="FFBFBFBF"/>
      <name val="Arial"/>
      <family val="0"/>
      <charset val="1"/>
    </font>
    <font>
      <b val="true"/>
      <sz val="9"/>
      <color rgb="FF8DC640"/>
      <name val="Arial"/>
      <family val="0"/>
      <charset val="1"/>
    </font>
    <font>
      <sz val="9"/>
      <color rgb="FF3A3A3A"/>
      <name val="Arial"/>
      <family val="0"/>
      <charset val="1"/>
    </font>
    <font>
      <b val="true"/>
      <sz val="9"/>
      <color rgb="FF3A3A3A"/>
      <name val="Arial"/>
      <family val="0"/>
      <charset val="1"/>
    </font>
    <font>
      <b val="true"/>
      <sz val="13"/>
      <color rgb="FF181818"/>
      <name val="Arial"/>
      <family val="0"/>
      <charset val="1"/>
    </font>
    <font>
      <b val="true"/>
      <sz val="9"/>
      <color rgb="FFFFFFFF"/>
      <name val="Arial"/>
      <family val="0"/>
      <charset val="1"/>
    </font>
    <font>
      <sz val="7"/>
      <color rgb="FFBFBFBF"/>
      <name val="Arial"/>
      <family val="0"/>
      <charset val="1"/>
    </font>
    <font>
      <sz val="8"/>
      <color rgb="FF6B6B6B"/>
      <name val="Arial"/>
      <family val="0"/>
      <charset val="1"/>
    </font>
    <font>
      <b val="true"/>
      <sz val="18"/>
      <color rgb="FF000000"/>
      <name val="Calibri"/>
      <family val="2"/>
    </font>
    <font>
      <sz val="10"/>
      <color rgb="FF000000"/>
      <name val="Calibri"/>
      <family val="2"/>
    </font>
    <font>
      <b val="true"/>
      <sz val="18"/>
      <color rgb="FF181818"/>
      <name val="Arial"/>
      <family val="0"/>
      <charset val="1"/>
    </font>
    <font>
      <i val="true"/>
      <sz val="10"/>
      <color rgb="FF6B6B6B"/>
      <name val="Arial"/>
      <family val="0"/>
      <charset val="1"/>
    </font>
    <font>
      <sz val="10"/>
      <color rgb="FF0000FF"/>
      <name val="Arial"/>
      <family val="0"/>
      <charset val="1"/>
    </font>
    <font>
      <b val="true"/>
      <sz val="10"/>
      <color rgb="FFFFFFFF"/>
      <name val="Arial"/>
      <family val="0"/>
      <charset val="1"/>
    </font>
    <font>
      <sz val="9"/>
      <color rgb="FF6B6B6B"/>
      <name val="Arial"/>
      <family val="0"/>
      <charset val="1"/>
    </font>
    <font>
      <i val="true"/>
      <sz val="8"/>
      <color rgb="FF6B6B6B"/>
      <name val="Arial"/>
      <family val="0"/>
      <charset val="1"/>
    </font>
    <font>
      <b val="true"/>
      <sz val="8"/>
      <color rgb="FF6B6B6B"/>
      <name val="Arial"/>
      <family val="0"/>
      <charset val="1"/>
    </font>
    <font>
      <b val="true"/>
      <sz val="10"/>
      <color rgb="FF3A3A3A"/>
      <name val="Arial"/>
      <family val="0"/>
      <charset val="1"/>
    </font>
    <font>
      <sz val="9"/>
      <color rgb="FF181818"/>
      <name val="Arial"/>
      <family val="0"/>
      <charset val="1"/>
    </font>
    <font>
      <b val="true"/>
      <sz val="14"/>
      <color rgb="FF181818"/>
      <name val="Arial"/>
      <family val="0"/>
      <charset val="1"/>
    </font>
  </fonts>
  <fills count="8">
    <fill>
      <patternFill patternType="none"/>
    </fill>
    <fill>
      <patternFill patternType="gray125"/>
    </fill>
    <fill>
      <patternFill patternType="solid">
        <fgColor rgb="FF8DC640"/>
        <bgColor rgb="FF969696"/>
      </patternFill>
    </fill>
    <fill>
      <patternFill patternType="solid">
        <fgColor rgb="FFE9F4DA"/>
        <bgColor rgb="FFF6F6F5"/>
      </patternFill>
    </fill>
    <fill>
      <patternFill patternType="solid">
        <fgColor rgb="FFFFF2B3"/>
        <bgColor rgb="FFE9F4DA"/>
      </patternFill>
    </fill>
    <fill>
      <patternFill patternType="solid">
        <fgColor rgb="FF3A3A3A"/>
        <bgColor rgb="FF333300"/>
      </patternFill>
    </fill>
    <fill>
      <patternFill patternType="solid">
        <fgColor rgb="FFF6F6F5"/>
        <bgColor rgb="FFFFFFFF"/>
      </patternFill>
    </fill>
    <fill>
      <patternFill patternType="solid">
        <fgColor rgb="FF595959"/>
        <bgColor rgb="FF6B6B6B"/>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2"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3" borderId="1"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5" borderId="0" xfId="0" applyFont="true" applyBorder="true" applyAlignment="true" applyProtection="false">
      <alignment horizontal="general" vertical="center" textRotation="0" wrapText="false" indent="1" shrinkToFit="false"/>
      <protection locked="true" hidden="false"/>
    </xf>
    <xf numFmtId="165" fontId="5" fillId="6" borderId="0" xfId="0" applyFont="true" applyBorder="true" applyAlignment="true" applyProtection="false">
      <alignment horizontal="left" vertical="center" textRotation="0" wrapText="false" indent="1" shrinkToFit="false"/>
      <protection locked="true" hidden="false"/>
    </xf>
    <xf numFmtId="166" fontId="5" fillId="6" borderId="0" xfId="0" applyFont="true" applyBorder="true" applyAlignment="true" applyProtection="false">
      <alignment horizontal="left" vertical="center" textRotation="0" wrapText="false" indent="1" shrinkToFit="false"/>
      <protection locked="true" hidden="false"/>
    </xf>
    <xf numFmtId="164" fontId="21" fillId="6" borderId="0" xfId="0" applyFont="true" applyBorder="true" applyAlignment="true" applyProtection="false">
      <alignment horizontal="general" vertical="bottom" textRotation="0" wrapText="false" indent="1" shrinkToFit="false"/>
      <protection locked="true" hidden="false"/>
    </xf>
    <xf numFmtId="164" fontId="0" fillId="6" borderId="0" xfId="0" applyFont="false" applyBorder="true" applyAlignment="false" applyProtection="false">
      <alignment horizontal="general" vertical="bottom" textRotation="0" wrapText="false" indent="0" shrinkToFit="false"/>
      <protection locked="true" hidden="false"/>
    </xf>
    <xf numFmtId="164" fontId="22" fillId="6" borderId="0" xfId="0" applyFont="true" applyBorder="true" applyAlignment="true" applyProtection="false">
      <alignment horizontal="general" vertical="bottom" textRotation="0" wrapText="false" indent="1" shrinkToFit="false"/>
      <protection locked="true" hidden="false"/>
    </xf>
    <xf numFmtId="167" fontId="5" fillId="6" borderId="0" xfId="0" applyFont="true" applyBorder="true" applyAlignment="true" applyProtection="false">
      <alignment horizontal="left" vertical="center" textRotation="0" wrapText="false" indent="1"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4" fillId="5" borderId="0" xfId="0" applyFont="true" applyBorder="true" applyAlignment="true" applyProtection="false">
      <alignment horizontal="left" vertical="center" textRotation="0" wrapText="false" indent="0" shrinkToFit="false"/>
      <protection locked="true" hidden="false"/>
    </xf>
    <xf numFmtId="164" fontId="24" fillId="5" borderId="0" xfId="0" applyFont="true" applyBorder="false" applyAlignment="true" applyProtection="false">
      <alignment horizontal="center" vertical="center"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70" fontId="25" fillId="0" borderId="0" xfId="0" applyFont="true" applyBorder="fals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5" fontId="9" fillId="6" borderId="1" xfId="0" applyFont="true" applyBorder="true" applyAlignment="false" applyProtection="false">
      <alignment horizontal="general" vertical="bottom" textRotation="0" wrapText="false" indent="0" shrinkToFit="false"/>
      <protection locked="true" hidden="false"/>
    </xf>
    <xf numFmtId="168" fontId="9" fillId="6" borderId="1" xfId="0" applyFont="true" applyBorder="true" applyAlignment="false" applyProtection="false">
      <alignment horizontal="general" vertical="bottom" textRotation="0" wrapText="false" indent="0" shrinkToFit="false"/>
      <protection locked="true" hidden="false"/>
    </xf>
    <xf numFmtId="169" fontId="9" fillId="6" borderId="1" xfId="0" applyFont="true" applyBorder="true" applyAlignment="false" applyProtection="false">
      <alignment horizontal="general" vertical="bottom" textRotation="0" wrapText="false" indent="0" shrinkToFit="false"/>
      <protection locked="true" hidden="false"/>
    </xf>
    <xf numFmtId="164" fontId="13" fillId="6"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71" fontId="26"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31" fillId="3" borderId="1" xfId="0" applyFont="true" applyBorder="true" applyAlignment="false" applyProtection="false">
      <alignment horizontal="general" vertical="bottom" textRotation="0" wrapText="false" indent="0" shrinkToFit="false"/>
      <protection locked="true" hidden="false"/>
    </xf>
    <xf numFmtId="173" fontId="31" fillId="3" borderId="1" xfId="0" applyFont="true" applyBorder="true" applyAlignment="false" applyProtection="false">
      <alignment horizontal="general" vertical="bottom" textRotation="0" wrapText="false" indent="0" shrinkToFit="false"/>
      <protection locked="true" hidden="false"/>
    </xf>
    <xf numFmtId="165" fontId="31" fillId="3" borderId="1" xfId="0" applyFont="true" applyBorder="true" applyAlignment="false" applyProtection="false">
      <alignment horizontal="general" vertical="bottom" textRotation="0" wrapText="false" indent="0" shrinkToFit="false"/>
      <protection locked="true" hidden="false"/>
    </xf>
    <xf numFmtId="167" fontId="31" fillId="3"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4" fontId="32" fillId="5" borderId="0" xfId="0" applyFont="true" applyBorder="false" applyAlignment="true" applyProtection="false">
      <alignment horizontal="left" vertical="center" textRotation="0" wrapText="true" indent="0" shrinkToFit="false"/>
      <protection locked="true" hidden="false"/>
    </xf>
    <xf numFmtId="164" fontId="32" fillId="5" borderId="0" xfId="0" applyFont="true" applyBorder="false" applyAlignment="true" applyProtection="false">
      <alignment horizontal="center" vertical="center" textRotation="0" wrapText="true" indent="0" shrinkToFit="false"/>
      <protection locked="true" hidden="false"/>
    </xf>
    <xf numFmtId="164" fontId="32" fillId="5" borderId="0" xfId="0" applyFont="true" applyBorder="false" applyAlignment="true" applyProtection="false">
      <alignment horizontal="general" vertical="center" textRotation="0" wrapText="true" indent="0" shrinkToFit="false"/>
      <protection locked="true" hidden="false"/>
    </xf>
    <xf numFmtId="164" fontId="32" fillId="5" borderId="0" xfId="0" applyFont="true" applyBorder="false" applyAlignment="false" applyProtection="false">
      <alignment horizontal="general" vertical="bottom" textRotation="0" wrapText="false" indent="0" shrinkToFit="false"/>
      <protection locked="true" hidden="false"/>
    </xf>
    <xf numFmtId="164" fontId="33" fillId="0" borderId="1" xfId="0" applyFont="true" applyBorder="true" applyAlignment="false" applyProtection="false">
      <alignment horizontal="general" vertical="bottom" textRotation="0" wrapText="false" indent="0" shrinkToFit="false"/>
      <protection locked="true" hidden="false"/>
    </xf>
    <xf numFmtId="164" fontId="34" fillId="0" borderId="0" xfId="0" applyFont="true" applyBorder="true" applyAlignment="true" applyProtection="false">
      <alignment horizontal="general" vertical="top" textRotation="0" wrapText="tru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2" fillId="7" borderId="0" xfId="0" applyFont="true" applyBorder="false" applyAlignment="true" applyProtection="false">
      <alignment horizontal="center" vertical="center" textRotation="0" wrapText="true" indent="0" shrinkToFit="false"/>
      <protection locked="true" hidden="false"/>
    </xf>
    <xf numFmtId="164" fontId="25" fillId="0" borderId="0" xfId="0" applyFont="true" applyBorder="false" applyAlignment="true" applyProtection="false">
      <alignment horizontal="center" vertical="center" textRotation="0" wrapText="true" indent="0" shrinkToFit="false"/>
      <protection locked="true" hidden="false"/>
    </xf>
    <xf numFmtId="174" fontId="31" fillId="3" borderId="1" xfId="0" applyFont="true" applyBorder="true" applyAlignment="false" applyProtection="false">
      <alignment horizontal="general" vertical="bottom" textRotation="0" wrapText="false" indent="0" shrinkToFit="false"/>
      <protection locked="true" hidden="false"/>
    </xf>
    <xf numFmtId="173" fontId="9" fillId="0"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35" fillId="0" borderId="0" xfId="0" applyFont="true" applyBorder="false" applyAlignment="false" applyProtection="false">
      <alignment horizontal="general" vertical="bottom" textRotation="0" wrapText="false" indent="0" shrinkToFit="false"/>
      <protection locked="true" hidden="false"/>
    </xf>
    <xf numFmtId="168" fontId="8" fillId="6" borderId="1" xfId="0" applyFont="true" applyBorder="true" applyAlignment="false" applyProtection="false">
      <alignment horizontal="general" vertical="bottom" textRotation="0" wrapText="false" indent="0" shrinkToFit="false"/>
      <protection locked="true" hidden="false"/>
    </xf>
    <xf numFmtId="169" fontId="8" fillId="6" borderId="1" xfId="0" applyFont="true" applyBorder="true" applyAlignment="false" applyProtection="false">
      <alignment horizontal="general" vertical="bottom" textRotation="0" wrapText="false" indent="0" shrinkToFit="false"/>
      <protection locked="true" hidden="false"/>
    </xf>
    <xf numFmtId="165" fontId="8" fillId="6" borderId="1" xfId="0" applyFont="true" applyBorder="true" applyAlignment="false" applyProtection="false">
      <alignment horizontal="general" vertical="bottom" textRotation="0" wrapText="false" indent="0" shrinkToFit="false"/>
      <protection locked="true" hidden="false"/>
    </xf>
    <xf numFmtId="175" fontId="31" fillId="3" borderId="1" xfId="0" applyFont="true" applyBorder="true" applyAlignment="false" applyProtection="false">
      <alignment horizontal="general" vertical="bottom" textRotation="0" wrapText="false" indent="0" shrinkToFit="false"/>
      <protection locked="true" hidden="false"/>
    </xf>
    <xf numFmtId="176" fontId="9" fillId="0" borderId="1" xfId="0" applyFont="true" applyBorder="true" applyAlignment="false" applyProtection="false">
      <alignment horizontal="general" vertical="bottom" textRotation="0" wrapText="false" indent="0" shrinkToFit="false"/>
      <protection locked="true" hidden="false"/>
    </xf>
    <xf numFmtId="173" fontId="8" fillId="6" borderId="1" xfId="0" applyFont="true" applyBorder="tru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76" fontId="31" fillId="3" borderId="1" xfId="0" applyFont="true" applyBorder="true" applyAlignment="false" applyProtection="false">
      <alignment horizontal="general" vertical="bottom" textRotation="0" wrapText="false" indent="0" shrinkToFit="false"/>
      <protection locked="true" hidden="false"/>
    </xf>
    <xf numFmtId="174"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77" fontId="32" fillId="5"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9" fontId="9" fillId="3"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4" fontId="36" fillId="0" borderId="0" xfId="0" applyFont="true" applyBorder="false" applyAlignment="false" applyProtection="false">
      <alignment horizontal="general" vertical="bottom" textRotation="0" wrapText="false" indent="0" shrinkToFit="false"/>
      <protection locked="true" hidden="false"/>
    </xf>
    <xf numFmtId="165" fontId="37"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77" fontId="32" fillId="5" borderId="0" xfId="0" applyFont="true" applyBorder="false" applyAlignment="true" applyProtection="false">
      <alignment horizontal="center" vertical="bottom" textRotation="0" wrapText="false" indent="0" shrinkToFit="false"/>
      <protection locked="true" hidden="false"/>
    </xf>
    <xf numFmtId="178" fontId="9" fillId="0" borderId="1" xfId="0" applyFont="true" applyBorder="true" applyAlignment="false" applyProtection="false">
      <alignment horizontal="general" vertical="bottom" textRotation="0" wrapText="false" indent="0" shrinkToFit="false"/>
      <protection locked="true" hidden="false"/>
    </xf>
    <xf numFmtId="179" fontId="9"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71" fontId="8" fillId="0" borderId="1" xfId="0" applyFont="true" applyBorder="true" applyAlignment="false" applyProtection="false">
      <alignment horizontal="general" vertical="bottom" textRotation="0" wrapText="false" indent="0" shrinkToFit="false"/>
      <protection locked="true" hidden="false"/>
    </xf>
    <xf numFmtId="176" fontId="8" fillId="0" borderId="1" xfId="0" applyFont="true" applyBorder="true" applyAlignment="false" applyProtection="false">
      <alignment horizontal="general" vertical="bottom" textRotation="0" wrapText="false" indent="0" shrinkToFit="false"/>
      <protection locked="true" hidden="false"/>
    </xf>
    <xf numFmtId="165" fontId="38" fillId="2" borderId="1" xfId="0" applyFont="true" applyBorder="true" applyAlignment="false" applyProtection="false">
      <alignment horizontal="general" vertical="bottom" textRotation="0" wrapText="false" indent="0" shrinkToFit="false"/>
      <protection locked="true" hidden="false"/>
    </xf>
    <xf numFmtId="171" fontId="38" fillId="2" borderId="1" xfId="0" applyFont="true" applyBorder="true" applyAlignment="false" applyProtection="false">
      <alignment horizontal="general" vertical="bottom" textRotation="0" wrapText="false" indent="0" shrinkToFit="false"/>
      <protection locked="true" hidden="false"/>
    </xf>
    <xf numFmtId="180" fontId="8" fillId="0" borderId="1" xfId="0" applyFont="true" applyBorder="true" applyAlignment="false" applyProtection="false">
      <alignment horizontal="general" vertical="bottom" textRotation="0" wrapText="false" indent="0" shrinkToFit="false"/>
      <protection locked="true" hidden="false"/>
    </xf>
    <xf numFmtId="173" fontId="8"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24" fillId="5"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31" fillId="3"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8C9C4"/>
        </patternFill>
      </fill>
    </dxf>
    <dxf>
      <fill>
        <patternFill>
          <bgColor rgb="FFC6E5A1"/>
        </patternFill>
      </fill>
    </dxf>
    <dxf>
      <fill>
        <patternFill>
          <bgColor rgb="FFFFF2B3"/>
        </patternFill>
      </fill>
    </dxf>
    <dxf>
      <fill>
        <patternFill>
          <bgColor rgb="FFE3EEF9"/>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2B3"/>
      <rgbColor rgb="FFE3EE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6F6F5"/>
      <rgbColor rgb="FFE9F4DA"/>
      <rgbColor rgb="FFC6E5A1"/>
      <rgbColor rgb="FF99CCFF"/>
      <rgbColor rgb="FFFF99CC"/>
      <rgbColor rgb="FFCC99FF"/>
      <rgbColor rgb="FFF8C9C4"/>
      <rgbColor rgb="FF3366FF"/>
      <rgbColor rgb="FF33CCCC"/>
      <rgbColor rgb="FF8DC640"/>
      <rgbColor rgb="FFFFCC00"/>
      <rgbColor rgb="FFFF9900"/>
      <rgbColor rgb="FFFF6600"/>
      <rgbColor rgb="FF6B6B6B"/>
      <rgbColor rgb="FF969696"/>
      <rgbColor rgb="FF003366"/>
      <rgbColor rgb="FF339966"/>
      <rgbColor rgb="FF181818"/>
      <rgbColor rgb="FF333300"/>
      <rgbColor rgb="FF993300"/>
      <rgbColor rgb="FF993366"/>
      <rgbColor rgb="FF59595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expenses and profit by month</a:t>
            </a:r>
          </a:p>
        </c:rich>
      </c:tx>
      <c:overlay val="0"/>
      <c:spPr>
        <a:noFill/>
        <a:ln w="0">
          <a:noFill/>
        </a:ln>
      </c:spPr>
    </c:title>
    <c:autoTitleDeleted val="0"/>
    <c:plotArea>
      <c:barChart>
        <c:barDir val="col"/>
        <c:grouping val="clustered"/>
        <c:varyColors val="0"/>
        <c:ser>
          <c:idx val="0"/>
          <c:order val="0"/>
          <c:tx>
            <c:strRef>
              <c:f>Dashboard!B91</c:f>
              <c:strCache>
                <c:ptCount val="1"/>
                <c:pt idx="0">
                  <c:v>Revenue</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Dashboard!$C$90:$N$90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Dashboard!$C$91:$N$91</c:f>
              <c:numCache>
                <c:formatCode>#,##0</c:formatCode>
                <c:ptCount val="12"/>
                <c:pt idx="0">
                  <c:v>5700</c:v>
                </c:pt>
                <c:pt idx="1">
                  <c:v>9075</c:v>
                </c:pt>
                <c:pt idx="2">
                  <c:v>16427.5</c:v>
                </c:pt>
                <c:pt idx="3">
                  <c:v>8450</c:v>
                </c:pt>
                <c:pt idx="4">
                  <c:v>12422.5</c:v>
                </c:pt>
                <c:pt idx="5">
                  <c:v>15503.75</c:v>
                </c:pt>
                <c:pt idx="6">
                  <c:v>14132.5</c:v>
                </c:pt>
                <c:pt idx="7">
                  <c:v>14963.75</c:v>
                </c:pt>
                <c:pt idx="8">
                  <c:v>12685</c:v>
                </c:pt>
                <c:pt idx="9">
                  <c:v>5390</c:v>
                </c:pt>
                <c:pt idx="10">
                  <c:v>0</c:v>
                </c:pt>
                <c:pt idx="11">
                  <c:v>0</c:v>
                </c:pt>
              </c:numCache>
            </c:numRef>
          </c:val>
        </c:ser>
        <c:ser>
          <c:idx val="1"/>
          <c:order val="1"/>
          <c:tx>
            <c:strRef>
              <c:f>Dashboard!B92</c:f>
              <c:strCache>
                <c:ptCount val="1"/>
                <c:pt idx="0">
                  <c:v>Business expenses</c:v>
                </c:pt>
              </c:strCache>
            </c:strRef>
          </c:tx>
          <c:spPr>
            <a:solidFill>
              <a:srgbClr val="bfbfbf"/>
            </a:solidFill>
            <a:ln w="0">
              <a:solidFill>
                <a:srgbClr val="bfbfb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Dashboard!$C$90:$N$90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Dashboard!$C$92:$N$92</c:f>
              <c:numCache>
                <c:formatCode>#,##0</c:formatCode>
                <c:ptCount val="12"/>
                <c:pt idx="0">
                  <c:v>3235.7</c:v>
                </c:pt>
                <c:pt idx="1">
                  <c:v>2299.88</c:v>
                </c:pt>
                <c:pt idx="2">
                  <c:v>4343.02</c:v>
                </c:pt>
                <c:pt idx="3">
                  <c:v>4651.75</c:v>
                </c:pt>
                <c:pt idx="4">
                  <c:v>2342.76</c:v>
                </c:pt>
                <c:pt idx="5">
                  <c:v>2547.87</c:v>
                </c:pt>
                <c:pt idx="6">
                  <c:v>2427.54</c:v>
                </c:pt>
                <c:pt idx="7">
                  <c:v>2952.97</c:v>
                </c:pt>
                <c:pt idx="8">
                  <c:v>2396.36</c:v>
                </c:pt>
                <c:pt idx="9">
                  <c:v>0</c:v>
                </c:pt>
                <c:pt idx="10">
                  <c:v>0</c:v>
                </c:pt>
                <c:pt idx="11">
                  <c:v>0</c:v>
                </c:pt>
              </c:numCache>
            </c:numRef>
          </c:val>
        </c:ser>
        <c:gapWidth val="150"/>
        <c:overlap val="0"/>
        <c:axId val="11337040"/>
        <c:axId val="2208034"/>
      </c:barChart>
      <c:lineChart>
        <c:grouping val="standard"/>
        <c:varyColors val="0"/>
        <c:ser>
          <c:idx val="2"/>
          <c:order val="2"/>
          <c:tx>
            <c:strRef>
              <c:f>Dashboard!B93</c:f>
              <c:strCache>
                <c:ptCount val="1"/>
                <c:pt idx="0">
                  <c:v>Net profit</c:v>
                </c:pt>
              </c:strCache>
            </c:strRef>
          </c:tx>
          <c:spPr>
            <a:solidFill>
              <a:srgbClr val="3a3a3a"/>
            </a:solidFill>
            <a:ln w="28080">
              <a:solidFill>
                <a:srgbClr val="3a3a3a"/>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Dashboard!$C$90:$N$90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Dashboard!$C$93:$N$93</c:f>
              <c:numCache>
                <c:formatCode>#,##0</c:formatCode>
                <c:ptCount val="12"/>
                <c:pt idx="0">
                  <c:v>2464.3</c:v>
                </c:pt>
                <c:pt idx="1">
                  <c:v>6775.12</c:v>
                </c:pt>
                <c:pt idx="2">
                  <c:v>12084.48</c:v>
                </c:pt>
                <c:pt idx="3">
                  <c:v>3798.25</c:v>
                </c:pt>
                <c:pt idx="4">
                  <c:v>10079.74</c:v>
                </c:pt>
                <c:pt idx="5">
                  <c:v>12955.88</c:v>
                </c:pt>
                <c:pt idx="6">
                  <c:v>11704.96</c:v>
                </c:pt>
                <c:pt idx="7">
                  <c:v>12010.78</c:v>
                </c:pt>
                <c:pt idx="8">
                  <c:v>10288.64</c:v>
                </c:pt>
                <c:pt idx="9">
                  <c:v>5390</c:v>
                </c:pt>
                <c:pt idx="10">
                  <c:v>0</c:v>
                </c:pt>
                <c:pt idx="11">
                  <c:v>0</c:v>
                </c:pt>
              </c:numCache>
            </c:numRef>
          </c:val>
          <c:smooth val="0"/>
        </c:ser>
        <c:hiLowLines>
          <c:spPr>
            <a:ln w="0">
              <a:noFill/>
            </a:ln>
          </c:spPr>
        </c:hiLowLines>
        <c:marker val="0"/>
        <c:axId val="11337040"/>
        <c:axId val="2208034"/>
      </c:lineChart>
      <c:catAx>
        <c:axId val="1133704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08034"/>
        <c:crosses val="autoZero"/>
        <c:auto val="1"/>
        <c:lblAlgn val="ctr"/>
        <c:lblOffset val="100"/>
        <c:noMultiLvlLbl val="0"/>
      </c:catAx>
      <c:valAx>
        <c:axId val="2208034"/>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33704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Billed by client this year</a:t>
            </a:r>
          </a:p>
        </c:rich>
      </c:tx>
      <c:overlay val="0"/>
      <c:spPr>
        <a:noFill/>
        <a:ln w="0">
          <a:noFill/>
        </a:ln>
      </c:spPr>
    </c:title>
    <c:autoTitleDeleted val="0"/>
    <c:plotArea>
      <c:barChart>
        <c:barDir val="bar"/>
        <c:grouping val="clustered"/>
        <c:varyColors val="0"/>
        <c:ser>
          <c:idx val="0"/>
          <c:order val="0"/>
          <c:tx>
            <c:strRef>
              <c:f>Dashboard!E47</c:f>
              <c:strCache>
                <c:ptCount val="1"/>
                <c:pt idx="0">
                  <c:v>Billed</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Dashboard!$B$48:$B$55</c:f>
              <c:strCache>
                <c:ptCount val="8"/>
                <c:pt idx="0">
                  <c:v>Copperline HVAC</c:v>
                </c:pt>
                <c:pt idx="1">
                  <c:v>Northstar Pet Resort</c:v>
                </c:pt>
                <c:pt idx="2">
                  <c:v>Bramble Family Dental</c:v>
                </c:pt>
                <c:pt idx="3">
                  <c:v>Maple Lane Realty</c:v>
                </c:pt>
                <c:pt idx="4">
                  <c:v>Ironclad Fitness</c:v>
                </c:pt>
                <c:pt idx="5">
                  <c:v>Lakeside Law Group</c:v>
                </c:pt>
                <c:pt idx="6">
                  <c:v>Second Cup Cafe</c:v>
                </c:pt>
                <c:pt idx="7">
                  <c:v>Pickle Barrel Deli</c:v>
                </c:pt>
              </c:strCache>
            </c:strRef>
          </c:cat>
          <c:val>
            <c:numRef>
              <c:f>Dashboard!$E$48:$E$55</c:f>
              <c:numCache>
                <c:formatCode>\$#,##0;"($"#,##0\);\-</c:formatCode>
                <c:ptCount val="8"/>
                <c:pt idx="0">
                  <c:v>35000</c:v>
                </c:pt>
                <c:pt idx="1">
                  <c:v>25000</c:v>
                </c:pt>
                <c:pt idx="2">
                  <c:v>22000</c:v>
                </c:pt>
                <c:pt idx="3">
                  <c:v>16740</c:v>
                </c:pt>
                <c:pt idx="4">
                  <c:v>9000</c:v>
                </c:pt>
                <c:pt idx="5">
                  <c:v>8000</c:v>
                </c:pt>
                <c:pt idx="6">
                  <c:v>7825</c:v>
                </c:pt>
                <c:pt idx="7">
                  <c:v>2400</c:v>
                </c:pt>
              </c:numCache>
            </c:numRef>
          </c:val>
        </c:ser>
        <c:gapWidth val="150"/>
        <c:overlap val="0"/>
        <c:axId val="73138718"/>
        <c:axId val="34909425"/>
      </c:barChart>
      <c:catAx>
        <c:axId val="7313871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4909425"/>
        <c:crosses val="autoZero"/>
        <c:auto val="1"/>
        <c:lblAlgn val="ctr"/>
        <c:lblOffset val="100"/>
        <c:noMultiLvlLbl val="0"/>
      </c:catAx>
      <c:valAx>
        <c:axId val="34909425"/>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13871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28</xdr:row>
      <xdr:rowOff>70560</xdr:rowOff>
    </xdr:from>
    <xdr:to>
      <xdr:col>6</xdr:col>
      <xdr:colOff>890280</xdr:colOff>
      <xdr:row>42</xdr:row>
      <xdr:rowOff>139320</xdr:rowOff>
    </xdr:to>
    <xdr:graphicFrame>
      <xdr:nvGraphicFramePr>
        <xdr:cNvPr id="1" name="Chart 1"/>
        <xdr:cNvGraphicFramePr/>
      </xdr:nvGraphicFramePr>
      <xdr:xfrm>
        <a:off x="141120" y="5753160"/>
        <a:ext cx="5471640" cy="273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28</xdr:row>
      <xdr:rowOff>70560</xdr:rowOff>
    </xdr:from>
    <xdr:to>
      <xdr:col>12</xdr:col>
      <xdr:colOff>673920</xdr:colOff>
      <xdr:row>42</xdr:row>
      <xdr:rowOff>139320</xdr:rowOff>
    </xdr:to>
    <xdr:graphicFrame>
      <xdr:nvGraphicFramePr>
        <xdr:cNvPr id="2" name="Chart 2"/>
        <xdr:cNvGraphicFramePr/>
      </xdr:nvGraphicFramePr>
      <xdr:xfrm>
        <a:off x="5638680" y="5753160"/>
        <a:ext cx="5255640" cy="2735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0</xdr:colOff>
      <xdr:row>0</xdr:row>
      <xdr:rowOff>0</xdr:rowOff>
    </xdr:from>
    <xdr:to>
      <xdr:col>11</xdr:col>
      <xdr:colOff>818640</xdr:colOff>
      <xdr:row>3</xdr:row>
      <xdr:rowOff>22320</xdr:rowOff>
    </xdr:to>
    <xdr:pic>
      <xdr:nvPicPr>
        <xdr:cNvPr id="3" name="Image 3" descr="Picture"/>
        <xdr:cNvPicPr/>
      </xdr:nvPicPr>
      <xdr:blipFill>
        <a:blip r:embed="rId3"/>
        <a:stretch/>
      </xdr:blipFill>
      <xdr:spPr>
        <a:xfrm>
          <a:off x="9304200" y="0"/>
          <a:ext cx="818640" cy="7138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3.5"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C13" s="8" t="s">
        <v>5</v>
      </c>
    </row>
    <row r="14" customFormat="false" ht="30" hidden="false" customHeight="true" outlineLevel="0" collapsed="false">
      <c r="C14" s="8" t="s">
        <v>6</v>
      </c>
    </row>
    <row r="15" customFormat="false" ht="30" hidden="false" customHeight="true" outlineLevel="0" collapsed="false">
      <c r="C15" s="8" t="s">
        <v>7</v>
      </c>
    </row>
    <row r="16" customFormat="false" ht="30" hidden="false" customHeight="true" outlineLevel="0" collapsed="false">
      <c r="C16" s="8" t="s">
        <v>8</v>
      </c>
    </row>
    <row r="17" customFormat="false" ht="30" hidden="false" customHeight="true" outlineLevel="0" collapsed="false">
      <c r="C17" s="8" t="s">
        <v>9</v>
      </c>
    </row>
    <row r="18" customFormat="false" ht="30" hidden="false" customHeight="true" outlineLevel="0" collapsed="false">
      <c r="C18" s="8" t="s">
        <v>10</v>
      </c>
    </row>
    <row r="19" customFormat="false" ht="30" hidden="false" customHeight="true" outlineLevel="0" collapsed="false">
      <c r="C19" s="8" t="s">
        <v>11</v>
      </c>
    </row>
    <row r="20" customFormat="false" ht="30" hidden="false" customHeight="true" outlineLevel="0" collapsed="false">
      <c r="C20" s="8" t="s">
        <v>12</v>
      </c>
    </row>
    <row r="21" customFormat="false" ht="15" hidden="false" customHeight="false" outlineLevel="0" collapsed="false">
      <c r="C21" s="1"/>
    </row>
    <row r="22" customFormat="false" ht="19.5" hidden="false" customHeight="true" outlineLevel="0" collapsed="false">
      <c r="B22" s="6"/>
      <c r="C22" s="7" t="s">
        <v>13</v>
      </c>
    </row>
    <row r="23" customFormat="false" ht="21.75" hidden="false" customHeight="true" outlineLevel="0" collapsed="false">
      <c r="C23" s="9" t="s">
        <v>14</v>
      </c>
    </row>
    <row r="24" customFormat="false" ht="33.75" hidden="false" customHeight="true" outlineLevel="0" collapsed="false">
      <c r="C24" s="10" t="s">
        <v>15</v>
      </c>
    </row>
    <row r="25" customFormat="false" ht="15" hidden="false" customHeight="false" outlineLevel="0" collapsed="false">
      <c r="C25" s="1"/>
    </row>
    <row r="26" customFormat="false" ht="19.5" hidden="false" customHeight="true" outlineLevel="0" collapsed="false">
      <c r="B26" s="6"/>
      <c r="C26" s="7" t="s">
        <v>16</v>
      </c>
    </row>
    <row r="27" customFormat="false" ht="30" hidden="false" customHeight="true" outlineLevel="0" collapsed="false">
      <c r="B27" s="11" t="s">
        <v>17</v>
      </c>
      <c r="C27" s="5" t="s">
        <v>18</v>
      </c>
    </row>
    <row r="28" customFormat="false" ht="30" hidden="false" customHeight="true" outlineLevel="0" collapsed="false">
      <c r="B28" s="11" t="s">
        <v>17</v>
      </c>
      <c r="C28" s="5" t="s">
        <v>19</v>
      </c>
    </row>
    <row r="29" customFormat="false" ht="30" hidden="false" customHeight="true" outlineLevel="0" collapsed="false">
      <c r="B29" s="11" t="s">
        <v>17</v>
      </c>
      <c r="C29" s="5" t="s">
        <v>20</v>
      </c>
    </row>
    <row r="30" customFormat="false" ht="30" hidden="false" customHeight="true" outlineLevel="0" collapsed="false">
      <c r="B30" s="11" t="s">
        <v>17</v>
      </c>
      <c r="C30" s="5" t="s">
        <v>21</v>
      </c>
    </row>
    <row r="31" customFormat="false" ht="30" hidden="false" customHeight="true" outlineLevel="0" collapsed="false">
      <c r="B31" s="11" t="s">
        <v>17</v>
      </c>
      <c r="C31" s="5" t="s">
        <v>22</v>
      </c>
    </row>
    <row r="32" customFormat="false" ht="30" hidden="false" customHeight="true" outlineLevel="0" collapsed="false">
      <c r="B32" s="11" t="s">
        <v>17</v>
      </c>
      <c r="C32" s="5" t="s">
        <v>23</v>
      </c>
    </row>
    <row r="33" customFormat="false" ht="15" hidden="false" customHeight="false" outlineLevel="0" collapsed="false">
      <c r="C33" s="1"/>
    </row>
    <row r="34" customFormat="false" ht="19.5" hidden="false" customHeight="true" outlineLevel="0" collapsed="false">
      <c r="B34" s="6"/>
      <c r="C34" s="7" t="s">
        <v>24</v>
      </c>
    </row>
    <row r="35" customFormat="false" ht="45.75" hidden="false" customHeight="true" outlineLevel="0" collapsed="false">
      <c r="B35" s="11" t="s">
        <v>17</v>
      </c>
      <c r="C35" s="5" t="s">
        <v>25</v>
      </c>
    </row>
    <row r="36" customFormat="false" ht="30" hidden="false" customHeight="true" outlineLevel="0" collapsed="false">
      <c r="B36" s="11" t="s">
        <v>17</v>
      </c>
      <c r="C36" s="5" t="s">
        <v>26</v>
      </c>
    </row>
    <row r="37" customFormat="false" ht="45.75" hidden="false" customHeight="true" outlineLevel="0" collapsed="false">
      <c r="B37" s="11" t="s">
        <v>17</v>
      </c>
      <c r="C37" s="5" t="s">
        <v>27</v>
      </c>
    </row>
    <row r="38" customFormat="false" ht="30" hidden="false" customHeight="true" outlineLevel="0" collapsed="false">
      <c r="B38" s="11" t="s">
        <v>17</v>
      </c>
      <c r="C38" s="5" t="s">
        <v>28</v>
      </c>
    </row>
    <row r="39" customFormat="false" ht="15" hidden="false" customHeight="false" outlineLevel="0" collapsed="false">
      <c r="C39" s="1"/>
    </row>
    <row r="40" customFormat="false" ht="15" hidden="false" customHeight="false" outlineLevel="0" collapsed="false">
      <c r="C40" s="12" t="s">
        <v>29</v>
      </c>
    </row>
    <row r="41" customFormat="false" ht="15" hidden="false" customHeight="false" outlineLevel="0" collapsed="false">
      <c r="C41" s="1"/>
    </row>
    <row r="42" customFormat="false" ht="15" hidden="false" customHeight="false" outlineLevel="0" collapsed="false">
      <c r="B42" s="6"/>
      <c r="C42" s="13" t="s">
        <v>30</v>
      </c>
    </row>
    <row r="43" customFormat="false" ht="27.75" hidden="false" customHeight="true" outlineLevel="0" collapsed="false">
      <c r="B43" s="6"/>
      <c r="C43" s="14" t="s">
        <v>31</v>
      </c>
    </row>
    <row r="44" customFormat="false" ht="15" hidden="false" customHeight="false" outlineLevel="0" collapsed="false">
      <c r="C44" s="1"/>
    </row>
    <row r="45" customFormat="false" ht="15" hidden="false" customHeight="false" outlineLevel="0" collapsed="false">
      <c r="C45" s="12" t="s">
        <v>32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Q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3"/>
  </cols>
  <sheetData>
    <row r="2" customFormat="false" ht="24.45" hidden="false" customHeight="false" outlineLevel="0" collapsed="false">
      <c r="B2" s="15" t="s">
        <v>1</v>
      </c>
    </row>
    <row r="3" customFormat="false" ht="15" hidden="false" customHeight="false" outlineLevel="0" collapsed="false">
      <c r="B3" s="16" t="str">
        <f aca="false">Settings!C4&amp;"  |  "&amp;Settings!C5</f>
        <v>Sample Co. Consulting  |  2026</v>
      </c>
    </row>
    <row r="5" customFormat="false" ht="15" hidden="false" customHeight="false" outlineLevel="0" collapsed="false">
      <c r="B5" s="17" t="s">
        <v>33</v>
      </c>
      <c r="C5" s="18" t="s">
        <v>34</v>
      </c>
      <c r="D5" s="19" t="s">
        <v>35</v>
      </c>
      <c r="O5" s="20" t="s">
        <v>36</v>
      </c>
      <c r="P5" s="20" t="n">
        <f aca="false">MATCH($C$5,{"Jan","Feb","Mar","Apr","May","Jun","Jul","Aug","Sep","Oct","Nov","Dec"},0)</f>
        <v>9</v>
      </c>
    </row>
    <row r="6" customFormat="false" ht="15" hidden="false" customHeight="false" outlineLevel="0" collapsed="false">
      <c r="O6" s="20" t="s">
        <v>37</v>
      </c>
      <c r="P6" s="20" t="n">
        <f aca="false">P5/12</f>
        <v>0.75</v>
      </c>
    </row>
    <row r="8" customFormat="false" ht="15" hidden="false" customHeight="false" outlineLevel="0" collapsed="false">
      <c r="B8" s="21" t="s">
        <v>38</v>
      </c>
      <c r="C8" s="21"/>
      <c r="D8" s="21"/>
      <c r="E8" s="21" t="s">
        <v>39</v>
      </c>
      <c r="F8" s="21"/>
      <c r="G8" s="21"/>
      <c r="H8" s="21" t="s">
        <v>40</v>
      </c>
      <c r="I8" s="21"/>
      <c r="J8" s="21"/>
      <c r="K8" s="21" t="s">
        <v>41</v>
      </c>
      <c r="L8" s="21"/>
      <c r="M8" s="21"/>
    </row>
    <row r="9" customFormat="false" ht="19.5" hidden="false" customHeight="true" outlineLevel="0" collapsed="false">
      <c r="B9" s="22" t="n">
        <f aca="false">SUMPRODUCT((COLUMN('Profit &amp; Loss'!$B$28:$M$28)-COLUMN('Profit &amp; Loss'!$B$28)+1&lt;=Dashboard!$P$5)*'Profit &amp; Loss'!$B$28:$M$28)</f>
        <v>109360</v>
      </c>
      <c r="C9" s="22"/>
      <c r="D9" s="22"/>
      <c r="E9" s="22" t="n">
        <f aca="false">SUMPRODUCT((COLUMN('Profit &amp; Loss'!$B$38:$M$38)-COLUMN('Profit &amp; Loss'!$B$38)+1&lt;=Dashboard!$P$5)*'Profit &amp; Loss'!$B$38:$M$38)</f>
        <v>27197.85</v>
      </c>
      <c r="F9" s="22"/>
      <c r="G9" s="22"/>
      <c r="H9" s="23" t="n">
        <f aca="false">SUMPRODUCT((COLUMN('Profit &amp; Loss'!$B$40:$M$40)-COLUMN('Profit &amp; Loss'!$B$40)+1&lt;=Dashboard!$P$5)*'Profit &amp; Loss'!$B$40:$M$40)</f>
        <v>82162.15</v>
      </c>
      <c r="I9" s="23"/>
      <c r="J9" s="23"/>
      <c r="K9" s="22" t="n">
        <f aca="false">INDEX('Cash Flow &amp; Taxes'!$B$13:$M$13,Dashboard!$P$5)</f>
        <v>43162.15</v>
      </c>
      <c r="L9" s="22"/>
      <c r="M9" s="22"/>
    </row>
    <row r="10" customFormat="false" ht="19.5" hidden="false" customHeight="true" outlineLevel="0" collapsed="false">
      <c r="B10" s="22"/>
      <c r="C10" s="22"/>
      <c r="D10" s="22"/>
      <c r="E10" s="22"/>
      <c r="F10" s="22"/>
      <c r="G10" s="22"/>
      <c r="H10" s="23"/>
      <c r="I10" s="23"/>
      <c r="J10" s="23"/>
      <c r="K10" s="22"/>
      <c r="L10" s="22"/>
      <c r="M10" s="22"/>
    </row>
    <row r="11" customFormat="false" ht="15" hidden="false" customHeight="false" outlineLevel="0" collapsed="false">
      <c r="B11" s="24" t="str">
        <f aca="false">"Goal pace through "&amp;$C$5&amp;": "&amp;TEXT(Settings!$C$6*Dashboard!$P$5/12,"$#,##0")</f>
        <v>Goal pace through Sep: $112,500</v>
      </c>
      <c r="C11" s="24"/>
      <c r="D11" s="24"/>
      <c r="E11" s="24" t="str">
        <f aca="false">"Marketing &amp; ads: "&amp;TEXT(SUMPRODUCT((COLUMN('Profit &amp; Loss'!$B$37:$M$37)-COLUMN('Profit &amp; Loss'!$B$37)+1&lt;=Dashboard!$P$5)*'Profit &amp; Loss'!$B$37:$M$37),"$#,##0")&amp;IF(N(SUMPRODUCT((COLUMN('Profit &amp; Loss'!$B$28:$M$28)-COLUMN('Profit &amp; Loss'!$B$28)+1&lt;=Dashboard!$P$5)*'Profit &amp; Loss'!$B$28:$M$28))=0,""," ("&amp;TEXT(SUMPRODUCT((COLUMN('Profit &amp; Loss'!$B$37:$M$37)-COLUMN('Profit &amp; Loss'!$B$37)+1&lt;=Dashboard!$P$5)*'Profit &amp; Loss'!$B$37:$M$37)/SUMPRODUCT((COLUMN('Profit &amp; Loss'!$B$28:$M$28)-COLUMN('Profit &amp; Loss'!$B$28)+1&lt;=Dashboard!$P$5)*'Profit &amp; Loss'!$B$28:$M$28),"0%")&amp;" of revenue)")</f>
        <v>Marketing &amp; ads: $6,532 (6% of revenue)</v>
      </c>
      <c r="F11" s="24"/>
      <c r="G11" s="24"/>
      <c r="H11" s="24" t="str">
        <f aca="false">"Before owner pay. Margin: "&amp;IF(N(SUMPRODUCT((COLUMN('Profit &amp; Loss'!$B$28:$M$28)-COLUMN('Profit &amp; Loss'!$B$28)+1&lt;=Dashboard!$P$5)*'Profit &amp; Loss'!$B$28:$M$28))=0,"-",TEXT(SUMPRODUCT((COLUMN('Profit &amp; Loss'!$B$40:$M$40)-COLUMN('Profit &amp; Loss'!$B$40)+1&lt;=Dashboard!$P$5)*'Profit &amp; Loss'!$B$40:$M$40)/SUMPRODUCT((COLUMN('Profit &amp; Loss'!$B$28:$M$28)-COLUMN('Profit &amp; Loss'!$B$28)+1&lt;=Dashboard!$P$5)*'Profit &amp; Loss'!$B$28:$M$28),"0%"))</f>
        <v>Before owner pay. Margin: 75%</v>
      </c>
      <c r="I11" s="24"/>
      <c r="J11" s="24"/>
      <c r="K11" s="24" t="str">
        <f aca="false">"Tax money to hold: "&amp;TEXT(INDEX('Cash Flow &amp; Taxes'!$B$18:$M$18,Dashboard!$P$5),"$#,##0")</f>
        <v>Tax money to hold: $9,505</v>
      </c>
      <c r="L11" s="24"/>
      <c r="M11" s="24"/>
    </row>
    <row r="12" customFormat="false" ht="15" hidden="false" customHeight="false" outlineLevel="0" collapsed="false">
      <c r="B12" s="25"/>
      <c r="C12" s="25"/>
      <c r="D12" s="25"/>
      <c r="E12" s="25"/>
      <c r="F12" s="25"/>
      <c r="G12" s="25"/>
      <c r="H12" s="25"/>
      <c r="I12" s="25"/>
      <c r="J12" s="25"/>
      <c r="K12" s="25"/>
      <c r="L12" s="25"/>
      <c r="M12" s="25"/>
    </row>
    <row r="13" customFormat="false" ht="15" hidden="false" customHeight="false" outlineLevel="0" collapsed="false">
      <c r="B13" s="26" t="str">
        <f aca="false">IF(N(Settings!$C$6)=0,"",IF(SUMPRODUCT((COLUMN('Profit &amp; Loss'!$B$28:$M$28)-COLUMN('Profit &amp; Loss'!$B$28)+1&lt;=Dashboard!$P$5)*'Profit &amp; Loss'!$B$28:$M$28)&gt;=Settings!$C$6*Dashboard!$P$5/12,"Ahead of goal","Behind goal by "&amp;TEXT(Settings!$C$6*Dashboard!$P$5/12-SUMPRODUCT((COLUMN('Profit &amp; Loss'!$B$28:$M$28)-COLUMN('Profit &amp; Loss'!$B$28)+1&lt;=Dashboard!$P$5)*'Profit &amp; Loss'!$B$28:$M$28),"$#,##0")))</f>
        <v>Behind goal by $3,140</v>
      </c>
      <c r="C13" s="26"/>
      <c r="D13" s="26"/>
      <c r="E13" s="26" t="str">
        <f aca="false">IF(N(Settings!$C$12*Dashboard!$P$5)=0,"",IF(SUMPRODUCT((COLUMN('Profit &amp; Loss'!$B$38:$M$38)-COLUMN('Profit &amp; Loss'!$B$38)+1&lt;=Dashboard!$P$5)*'Profit &amp; Loss'!$B$38:$M$38)&gt;Settings!$C$12*Dashboard!$P$5*1.05,"Over budget by "&amp;TEXT(SUMPRODUCT((COLUMN('Profit &amp; Loss'!$B$38:$M$38)-COLUMN('Profit &amp; Loss'!$B$38)+1&lt;=Dashboard!$P$5)*'Profit &amp; Loss'!$B$38:$M$38)-Settings!$C$12*Dashboard!$P$5,"$#,##0"),"On budget ("&amp;TEXT(Settings!$C$12*Dashboard!$P$5,"$#,##0")&amp;" so far)"))</f>
        <v>On budget ($26,730 so far)</v>
      </c>
      <c r="F13" s="26"/>
      <c r="G13" s="26"/>
      <c r="H13" s="26" t="str">
        <f aca="false">"Tax set-aside on this: "&amp;TEXT(MAX(0,SUMPRODUCT((COLUMN('Profit &amp; Loss'!$B$40:$M$40)-COLUMN('Profit &amp; Loss'!$B$40)+1&lt;=Dashboard!$P$5)*'Profit &amp; Loss'!$B$40:$M$40))*Settings!$C$8,"$#,##0")</f>
        <v>Tax set-aside on this: $23,005</v>
      </c>
      <c r="I13" s="26"/>
      <c r="J13" s="26"/>
      <c r="K13" s="26" t="str">
        <f aca="false">IF(NOT(ISNUMBER(INDEX('Cash Flow &amp; Taxes'!$B$20:$M$20,Dashboard!$P$5))),"",IF(INDEX('Cash Flow &amp; Taxes'!$B$20:$M$20,Dashboard!$P$5)&lt;3,"Runway "&amp;TEXT(INDEX('Cash Flow &amp; Taxes'!$B$20:$M$20,Dashboard!$P$5),"0.0")&amp;" months. Build to 3+","Runway "&amp;TEXT(INDEX('Cash Flow &amp; Taxes'!$B$20:$M$20,Dashboard!$P$5),"0.0")&amp;" months. Healthy"))</f>
        <v>Runway 4.5 months. Healthy</v>
      </c>
      <c r="L13" s="26"/>
      <c r="M13" s="26"/>
    </row>
    <row r="15" customFormat="false" ht="15" hidden="false" customHeight="false" outlineLevel="0" collapsed="false">
      <c r="B15" s="21" t="s">
        <v>42</v>
      </c>
      <c r="C15" s="21"/>
      <c r="D15" s="21"/>
      <c r="E15" s="21" t="s">
        <v>43</v>
      </c>
      <c r="F15" s="21"/>
      <c r="G15" s="21"/>
      <c r="H15" s="21" t="s">
        <v>44</v>
      </c>
      <c r="I15" s="21"/>
      <c r="J15" s="21"/>
      <c r="K15" s="21" t="s">
        <v>45</v>
      </c>
      <c r="L15" s="21"/>
      <c r="M15" s="21"/>
    </row>
    <row r="16" customFormat="false" ht="19.5" hidden="false" customHeight="true" outlineLevel="0" collapsed="false">
      <c r="B16" s="22" t="n">
        <f aca="false">Invoices!$I$4</f>
        <v>11215</v>
      </c>
      <c r="C16" s="22"/>
      <c r="D16" s="22"/>
      <c r="E16" s="22" t="n">
        <f aca="false">IF(N(SUMPRODUCT((COLUMN('Profit &amp; Loss'!$B$50:$M$50)-COLUMN('Profit &amp; Loss'!$B$50)+1&lt;=Dashboard!$P$5)*'Profit &amp; Loss'!$B$50:$M$50))=0,"",SUMPRODUCT((COLUMN('Profit &amp; Loss'!$B$28:$M$28)-COLUMN('Profit &amp; Loss'!$B$28)+1&lt;=Dashboard!$P$5)*'Profit &amp; Loss'!$B$28:$M$28)/SUMPRODUCT((COLUMN('Profit &amp; Loss'!$B$50:$M$50)-COLUMN('Profit &amp; Loss'!$B$50)+1&lt;=Dashboard!$P$5)*'Profit &amp; Loss'!$B$50:$M$50))</f>
        <v>91.706498951782</v>
      </c>
      <c r="F16" s="22"/>
      <c r="G16" s="22"/>
      <c r="H16" s="27" t="n">
        <f aca="false">IF(N(SUMPRODUCT((COLUMN('Profit &amp; Loss'!$B$50:$M$50)-COLUMN('Profit &amp; Loss'!$B$50)+1&lt;=Dashboard!$P$5)*'Profit &amp; Loss'!$B$50:$M$50))=0,"",SUMPRODUCT((COLUMN('Profit &amp; Loss'!$B$48:$M$48)-COLUMN('Profit &amp; Loss'!$B$48)+1&lt;=Dashboard!$P$5)*'Profit &amp; Loss'!$B$48:$M$48)/SUMPRODUCT((COLUMN('Profit &amp; Loss'!$B$50:$M$50)-COLUMN('Profit &amp; Loss'!$B$50)+1&lt;=Dashboard!$P$5)*'Profit &amp; Loss'!$B$50:$M$50))</f>
        <v>0.809433962264151</v>
      </c>
      <c r="I16" s="27"/>
      <c r="J16" s="27"/>
      <c r="K16" s="22" t="n">
        <f aca="false">Pipeline!$C$4</f>
        <v>47700</v>
      </c>
      <c r="L16" s="22"/>
      <c r="M16" s="22"/>
    </row>
    <row r="17" customFormat="false" ht="19.5" hidden="false" customHeight="true" outlineLevel="0" collapsed="false">
      <c r="B17" s="22"/>
      <c r="C17" s="22"/>
      <c r="D17" s="22"/>
      <c r="E17" s="22"/>
      <c r="F17" s="22"/>
      <c r="G17" s="22"/>
      <c r="H17" s="27"/>
      <c r="I17" s="27"/>
      <c r="J17" s="27"/>
      <c r="K17" s="22"/>
      <c r="L17" s="22"/>
      <c r="M17" s="22"/>
    </row>
    <row r="18" customFormat="false" ht="15" hidden="false" customHeight="false" outlineLevel="0" collapsed="false">
      <c r="B18" s="24" t="str">
        <f aca="false">"Overdue: "&amp;TEXT(Invoices!$K$4,"$#,##0")&amp;" on "&amp;COUNTIF(Invoices!$L$6:$L$505,"Overdue")&amp;" invoice(s)"</f>
        <v>Overdue: $1,300 on 2 invoice(s)</v>
      </c>
      <c r="C18" s="24"/>
      <c r="D18" s="24"/>
      <c r="E18" s="24" t="str">
        <f aca="false">"Target rate: "&amp;TEXT('Rate Calculator'!$C$17,"$#,##0")&amp;" (Rate Calculator)"</f>
        <v>Target rate: $135 (Rate Calculator)</v>
      </c>
      <c r="F18" s="24"/>
      <c r="G18" s="24"/>
      <c r="H18" s="24" t="str">
        <f aca="false">TEXT(SUMPRODUCT((COLUMN('Profit &amp; Loss'!$B$48:$M$48)-COLUMN('Profit &amp; Loss'!$B$48)+1&lt;=Dashboard!$P$5)*'Profit &amp; Loss'!$B$48:$M$48),"#,##0")&amp;" billable of "&amp;TEXT(SUMPRODUCT((COLUMN('Profit &amp; Loss'!$B$50:$M$50)-COLUMN('Profit &amp; Loss'!$B$50)+1&lt;=Dashboard!$P$5)*'Profit &amp; Loss'!$B$50:$M$50),"#,##0")&amp;" hours"</f>
        <v>965 billable of 1,193 hours</v>
      </c>
      <c r="I18" s="24"/>
      <c r="J18" s="24"/>
      <c r="K18" s="24" t="str">
        <f aca="false">Pipeline!$B$4&amp;" open deals  |  Won: "&amp;TEXT(Pipeline!$G$4,"$#,##0")</f>
        <v>7 open deals  |  Won: $6,000</v>
      </c>
      <c r="L18" s="24"/>
      <c r="M18" s="24"/>
    </row>
    <row r="19" customFormat="false" ht="15" hidden="false" customHeight="false" outlineLevel="0" collapsed="false">
      <c r="B19" s="25"/>
      <c r="C19" s="25"/>
      <c r="D19" s="25"/>
      <c r="E19" s="25"/>
      <c r="F19" s="25"/>
      <c r="G19" s="25"/>
      <c r="H19" s="25"/>
      <c r="I19" s="25"/>
      <c r="J19" s="25"/>
      <c r="K19" s="25"/>
      <c r="L19" s="25"/>
      <c r="M19" s="25"/>
    </row>
    <row r="20" customFormat="false" ht="15" hidden="false" customHeight="false" outlineLevel="0" collapsed="false">
      <c r="B20" s="26" t="str">
        <f aca="false">IF(COUNTIF(Invoices!$L$6:$L$505,"Overdue")=0,"All good","Chase the overdue ones")</f>
        <v>Chase the overdue ones</v>
      </c>
      <c r="C20" s="26"/>
      <c r="D20" s="26"/>
      <c r="E20" s="26" t="str">
        <f aca="false">IF(OR(N(SUMPRODUCT((COLUMN('Profit &amp; Loss'!$B$50:$M$50)-COLUMN('Profit &amp; Loss'!$B$50)+1&lt;=Dashboard!$P$5)*'Profit &amp; Loss'!$B$50:$M$50))=0,N('Rate Calculator'!$C$17)=0),"",IF(SUMPRODUCT((COLUMN('Profit &amp; Loss'!$B$28:$M$28)-COLUMN('Profit &amp; Loss'!$B$28)+1&lt;=Dashboard!$P$5)*'Profit &amp; Loss'!$B$28:$M$28)/SUMPRODUCT((COLUMN('Profit &amp; Loss'!$B$50:$M$50)-COLUMN('Profit &amp; Loss'!$B$50)+1&lt;=Dashboard!$P$5)*'Profit &amp; Loss'!$B$50:$M$50)&gt;='Rate Calculator'!$C$17,"At or above target","Below target. Raise rates or cut scope"))</f>
        <v>Below target. Raise rates or cut scope</v>
      </c>
      <c r="F20" s="26"/>
      <c r="G20" s="26"/>
      <c r="H20" s="26" t="str">
        <f aca="false">IF(N(SUMPRODUCT((COLUMN('Profit &amp; Loss'!$B$50:$M$50)-COLUMN('Profit &amp; Loss'!$B$50)+1&lt;=Dashboard!$P$5)*'Profit &amp; Loss'!$B$50:$M$50))=0,"",IF(SUMPRODUCT((COLUMN('Profit &amp; Loss'!$B$48:$M$48)-COLUMN('Profit &amp; Loss'!$B$48)+1&lt;=Dashboard!$P$5)*'Profit &amp; Loss'!$B$48:$M$48)/SUMPRODUCT((COLUMN('Profit &amp; Loss'!$B$50:$M$50)-COLUMN('Profit &amp; Loss'!$B$50)+1&lt;=Dashboard!$P$5)*'Profit &amp; Loss'!$B$50:$M$50)&lt;0.5,"Low. Too much admin?",IF(SUMPRODUCT((COLUMN('Profit &amp; Loss'!$B$48:$M$48)-COLUMN('Profit &amp; Loss'!$B$48)+1&lt;=Dashboard!$P$5)*'Profit &amp; Loss'!$B$48:$M$48)/SUMPRODUCT((COLUMN('Profit &amp; Loss'!$B$50:$M$50)-COLUMN('Profit &amp; Loss'!$B$50)+1&lt;=Dashboard!$P$5)*'Profit &amp; Loss'!$B$50:$M$50)&gt;0.85,"Over 85%. Burnout watch","Healthy range")))</f>
        <v>Healthy range</v>
      </c>
      <c r="I20" s="26"/>
      <c r="J20" s="26"/>
      <c r="K20" s="26" t="str">
        <f aca="false">IF(Pipeline!$K$4=0,"Follow ups on track",Pipeline!$K$4&amp;" follow up(s) overdue")</f>
        <v>2 follow up(s) overdue</v>
      </c>
      <c r="L20" s="26"/>
      <c r="M20" s="26"/>
    </row>
    <row r="22" customFormat="false" ht="15" hidden="false" customHeight="false" outlineLevel="0" collapsed="false">
      <c r="B22" s="28" t="s">
        <v>46</v>
      </c>
      <c r="C22" s="6"/>
      <c r="D22" s="6"/>
      <c r="E22" s="6"/>
      <c r="F22" s="6"/>
      <c r="G22" s="6"/>
      <c r="H22" s="6"/>
      <c r="I22" s="6"/>
      <c r="J22" s="6"/>
      <c r="K22" s="6"/>
      <c r="L22" s="6"/>
      <c r="M22" s="6"/>
    </row>
    <row r="23" customFormat="false" ht="15" hidden="false" customHeight="false" outlineLevel="0" collapsed="false">
      <c r="B23" s="29" t="s">
        <v>17</v>
      </c>
      <c r="C23" s="30" t="str">
        <f aca="false">IFERROR(INDEX(Clients!$B$6:$B$25,MATCH(LARGE(Clients!$T$6:$T$25,1),Clients!$T$6:$T$25,0))&amp;" is "&amp;TEXT(INDEX(Clients!$Q$6:$Q$25,MATCH(LARGE(Clients!$T$6:$T$25,1),Clients!$T$6:$T$25,0)),"0%")&amp;" of your billing this year."&amp;IF(INDEX(Clients!$Q$6:$Q$25,MATCH(LARGE(Clients!$T$6:$T$25,1),Clients!$T$6:$T$25,0))&gt;0.25," That's too big to lose. Go find two more like them."," Nicely spread out."),"Add clients and invoices to see your biggest client.")</f>
        <v>Copperline HVAC is 28% of your billing this year. That's too big to lose. Go find two more like them.</v>
      </c>
      <c r="D23" s="30"/>
      <c r="E23" s="30"/>
      <c r="F23" s="30"/>
      <c r="G23" s="30"/>
      <c r="H23" s="30"/>
      <c r="I23" s="30"/>
      <c r="J23" s="30"/>
      <c r="K23" s="30"/>
      <c r="L23" s="30"/>
      <c r="M23" s="30"/>
    </row>
    <row r="24" customFormat="false" ht="15" hidden="false" customHeight="false" outlineLevel="0" collapsed="false">
      <c r="B24" s="29" t="s">
        <v>17</v>
      </c>
      <c r="C24" s="30" t="str">
        <f aca="false">"Billable work not invoiced yet: "&amp;TEXT('Time Log'!$G$4,"$#,##0")&amp;IF(N('Time Log'!$G$4)&gt;0,". Send those invoices!",". Everything is billed. Nice.")</f>
        <v>Billable work not invoiced yet: $3,365. Send those invoices!</v>
      </c>
      <c r="D24" s="30"/>
      <c r="E24" s="30"/>
      <c r="F24" s="30"/>
      <c r="G24" s="30"/>
      <c r="H24" s="30"/>
      <c r="I24" s="30"/>
      <c r="J24" s="30"/>
      <c r="K24" s="30"/>
      <c r="L24" s="30"/>
      <c r="M24" s="30"/>
    </row>
    <row r="25" customFormat="false" ht="15" hidden="false" customHeight="false" outlineLevel="0" collapsed="false">
      <c r="B25" s="29" t="s">
        <v>17</v>
      </c>
      <c r="C25" s="30" t="str">
        <f aca="false">IF(N(Expenses!$F$4)=0,"Every expense has a receipt. Your accountant just smiled.",Expenses!$F$4&amp;" expense(s) missing a receipt. Find them before tax time.")</f>
        <v>3 expense(s) missing a receipt. Find them before tax time.</v>
      </c>
      <c r="D25" s="30"/>
      <c r="E25" s="30"/>
      <c r="F25" s="30"/>
      <c r="G25" s="30"/>
      <c r="H25" s="30"/>
      <c r="I25" s="30"/>
      <c r="J25" s="30"/>
      <c r="K25" s="30"/>
      <c r="L25" s="30"/>
      <c r="M25" s="30"/>
    </row>
    <row r="26" customFormat="false" ht="15" hidden="false" customHeight="false" outlineLevel="0" collapsed="false">
      <c r="B26" s="29" t="s">
        <v>17</v>
      </c>
      <c r="C26" s="30" t="str">
        <f aca="true">IFERROR(IF(N(_xlfn.MINIFS('Cash Flow &amp; Taxes'!$D$33:$D$36,'Cash Flow &amp; Taxes'!$D$33:$D$36,"&gt;="&amp;TODAY()))=0,"No estimated tax payments left this year.","Next estimated tax payment due "&amp;TEXT(_xlfn.MINIFS('Cash Flow &amp; Taxes'!$D$33:$D$36,'Cash Flow &amp; Taxes'!$D$33:$D$36,"&gt;="&amp;TODAY()),"mmm d, yyyy")&amp;". Set aside for that period so far: "&amp;TEXT(SUMIFS('Cash Flow &amp; Taxes'!$E$33:$E$36,'Cash Flow &amp; Taxes'!$D$33:$D$36,_xlfn.MINIFS('Cash Flow &amp; Taxes'!$D$33:$D$36,'Cash Flow &amp; Taxes'!$D$33:$D$36,"&gt;="&amp;TODAY())),"$#,##0")&amp;"."),"")</f>
        <v>Next estimated tax payment due Jan 15, 2027. Set aside for that period so far: $2,881.</v>
      </c>
      <c r="D26" s="30"/>
      <c r="E26" s="30"/>
      <c r="F26" s="30"/>
      <c r="G26" s="30"/>
      <c r="H26" s="30"/>
      <c r="I26" s="30"/>
      <c r="J26" s="30"/>
      <c r="K26" s="30"/>
      <c r="L26" s="30"/>
      <c r="M26" s="30"/>
    </row>
    <row r="27" customFormat="false" ht="15" hidden="false" customHeight="false" outlineLevel="0" collapsed="false">
      <c r="B27" s="29" t="s">
        <v>17</v>
      </c>
      <c r="C27" s="30" t="str">
        <f aca="false">IF(N(Settings!$C$6)=0,"","You've hit "&amp;TEXT(SUMPRODUCT((COLUMN('Profit &amp; Loss'!$B$28:$M$28)-COLUMN('Profit &amp; Loss'!$B$28)+1&lt;=Dashboard!$P$5)*'Profit &amp; Loss'!$B$28:$M$28)/Settings!$C$6,"0%")&amp;" of your "&amp;TEXT(Settings!$C$6,"$#,##0")&amp;" revenue goal with "&amp;TEXT(1-$P$6,"0%")&amp;" of the year left.")</f>
        <v>You've hit 73% of your $150,000 revenue goal with 25% of the year left.</v>
      </c>
      <c r="D27" s="30"/>
      <c r="E27" s="30"/>
      <c r="F27" s="30"/>
      <c r="G27" s="30"/>
      <c r="H27" s="30"/>
      <c r="I27" s="30"/>
      <c r="J27" s="30"/>
      <c r="K27" s="30"/>
      <c r="L27" s="30"/>
      <c r="M27" s="30"/>
    </row>
    <row r="28" customFormat="false" ht="15" hidden="false" customHeight="false" outlineLevel="0" collapsed="false">
      <c r="B28" s="29" t="s">
        <v>17</v>
      </c>
      <c r="C28" s="30" t="str">
        <f aca="false">IF(NOT(ISNUMBER('Rate Calculator'!$C$44)),"","To cover the business and pay yourself, you need about "&amp;TEXT('Rate Calculator'!$C$44,"#,##0")&amp;" billable hours a month at your current rate.")</f>
        <v>To cover the business and pay yourself, you need about 101 billable hours a month at your current rate.</v>
      </c>
      <c r="D28" s="30"/>
      <c r="E28" s="30"/>
      <c r="F28" s="30"/>
      <c r="G28" s="30"/>
      <c r="H28" s="30"/>
      <c r="I28" s="30"/>
      <c r="J28" s="30"/>
      <c r="K28" s="30"/>
      <c r="L28" s="30"/>
      <c r="M28" s="30"/>
    </row>
    <row r="46" customFormat="false" ht="16.15" hidden="false" customHeight="false" outlineLevel="0" collapsed="false">
      <c r="B46" s="31" t="s">
        <v>47</v>
      </c>
    </row>
    <row r="47" customFormat="false" ht="15" hidden="false" customHeight="false" outlineLevel="0" collapsed="false">
      <c r="B47" s="32" t="s">
        <v>48</v>
      </c>
      <c r="C47" s="32"/>
      <c r="D47" s="32"/>
      <c r="E47" s="33" t="s">
        <v>49</v>
      </c>
      <c r="F47" s="33" t="s">
        <v>50</v>
      </c>
      <c r="G47" s="33" t="s">
        <v>51</v>
      </c>
      <c r="H47" s="33" t="s">
        <v>52</v>
      </c>
      <c r="I47" s="33" t="s">
        <v>53</v>
      </c>
      <c r="J47" s="33" t="s">
        <v>54</v>
      </c>
      <c r="K47" s="32" t="s">
        <v>55</v>
      </c>
      <c r="L47" s="32"/>
      <c r="M47" s="32"/>
    </row>
    <row r="48" customFormat="false" ht="15" hidden="false" customHeight="false" outlineLevel="0" collapsed="false">
      <c r="B48" s="34" t="str">
        <f aca="false">IF($Q48="","",INDEX(Clients!$B$6:$B$25,$Q48))</f>
        <v>Copperline HVAC</v>
      </c>
      <c r="C48" s="34"/>
      <c r="D48" s="34"/>
      <c r="E48" s="35" t="n">
        <f aca="false">IF($Q48="","",INDEX(Clients!$M$6:$M$25,$Q48))</f>
        <v>35000</v>
      </c>
      <c r="F48" s="35" t="n">
        <f aca="false">IF($Q48="","",INDEX(Clients!$N$6:$N$25,$Q48))</f>
        <v>35000</v>
      </c>
      <c r="G48" s="35" t="n">
        <f aca="false">IF($Q48="","",INDEX(Clients!$O$6:$O$25,$Q48))</f>
        <v>0</v>
      </c>
      <c r="H48" s="36" t="n">
        <f aca="false">IF($Q48="","",INDEX(Clients!$L$6:$L$25,$Q48))</f>
        <v>250.25</v>
      </c>
      <c r="I48" s="35" t="n">
        <f aca="false">IF($Q48="","",INDEX(Clients!$P$6:$P$25,$Q48))</f>
        <v>139.86013986014</v>
      </c>
      <c r="J48" s="37" t="n">
        <f aca="false">IF($Q48="","",INDEX(Clients!$Q$6:$Q$25,$Q48))</f>
        <v>0.277854959711031</v>
      </c>
      <c r="K48" s="38" t="str">
        <f aca="false">IF($Q48="","",INDEX(Clients!$S$6:$S$25,$Q48))</f>
        <v>Too big to lose. Diversify.</v>
      </c>
      <c r="L48" s="38"/>
      <c r="M48" s="38"/>
      <c r="P48" s="39" t="n">
        <f aca="false">IFERROR(LARGE(Clients!$T$6:$T$25,1),"")</f>
        <v>35000.000006</v>
      </c>
      <c r="Q48" s="39" t="n">
        <f aca="false">IF(P48="","",MATCH(P48,Clients!$T$6:$T$25,0))</f>
        <v>1</v>
      </c>
    </row>
    <row r="49" customFormat="false" ht="15" hidden="false" customHeight="false" outlineLevel="0" collapsed="false">
      <c r="B49" s="40" t="str">
        <f aca="false">IF($Q49="","",INDEX(Clients!$B$6:$B$25,$Q49))</f>
        <v>Northstar Pet Resort</v>
      </c>
      <c r="C49" s="40"/>
      <c r="D49" s="40"/>
      <c r="E49" s="41" t="n">
        <f aca="false">IF($Q49="","",INDEX(Clients!$M$6:$M$25,$Q49))</f>
        <v>25000</v>
      </c>
      <c r="F49" s="41" t="n">
        <f aca="false">IF($Q49="","",INDEX(Clients!$N$6:$N$25,$Q49))</f>
        <v>22625</v>
      </c>
      <c r="G49" s="41" t="n">
        <f aca="false">IF($Q49="","",INDEX(Clients!$O$6:$O$25,$Q49))</f>
        <v>2375</v>
      </c>
      <c r="H49" s="42" t="n">
        <f aca="false">IF($Q49="","",INDEX(Clients!$L$6:$L$25,$Q49))</f>
        <v>207.75</v>
      </c>
      <c r="I49" s="41" t="n">
        <f aca="false">IF($Q49="","",INDEX(Clients!$P$6:$P$25,$Q49))</f>
        <v>120.336943441637</v>
      </c>
      <c r="J49" s="43" t="n">
        <f aca="false">IF($Q49="","",INDEX(Clients!$Q$6:$Q$25,$Q49))</f>
        <v>0.198467828365022</v>
      </c>
      <c r="K49" s="44" t="str">
        <f aca="false">IF($Q49="","",INDEX(Clients!$S$6:$S$25,$Q49))</f>
        <v>Below your target rate</v>
      </c>
      <c r="L49" s="44"/>
      <c r="M49" s="44"/>
      <c r="P49" s="39" t="n">
        <f aca="false">IFERROR(LARGE(Clients!$T$6:$T$25,2),"")</f>
        <v>25000.000007</v>
      </c>
      <c r="Q49" s="39" t="n">
        <f aca="false">IF(P49="","",MATCH(P49,Clients!$T$6:$T$25,0))</f>
        <v>2</v>
      </c>
    </row>
    <row r="50" customFormat="false" ht="15" hidden="false" customHeight="false" outlineLevel="0" collapsed="false">
      <c r="B50" s="34" t="str">
        <f aca="false">IF($Q50="","",INDEX(Clients!$B$6:$B$25,$Q50))</f>
        <v>Bramble Family Dental</v>
      </c>
      <c r="C50" s="34"/>
      <c r="D50" s="34"/>
      <c r="E50" s="35" t="n">
        <f aca="false">IF($Q50="","",INDEX(Clients!$M$6:$M$25,$Q50))</f>
        <v>22000</v>
      </c>
      <c r="F50" s="35" t="n">
        <f aca="false">IF($Q50="","",INDEX(Clients!$N$6:$N$25,$Q50))</f>
        <v>19800</v>
      </c>
      <c r="G50" s="35" t="n">
        <f aca="false">IF($Q50="","",INDEX(Clients!$O$6:$O$25,$Q50))</f>
        <v>2200</v>
      </c>
      <c r="H50" s="36" t="n">
        <f aca="false">IF($Q50="","",INDEX(Clients!$L$6:$L$25,$Q50))</f>
        <v>155.25</v>
      </c>
      <c r="I50" s="35" t="n">
        <f aca="false">IF($Q50="","",INDEX(Clients!$P$6:$P$25,$Q50))</f>
        <v>141.70692431562</v>
      </c>
      <c r="J50" s="37" t="n">
        <f aca="false">IF($Q50="","",INDEX(Clients!$Q$6:$Q$25,$Q50))</f>
        <v>0.174651688961219</v>
      </c>
      <c r="K50" s="38" t="str">
        <f aca="false">IF($Q50="","",INDEX(Clients!$S$6:$S$25,$Q50))</f>
        <v>Healthy</v>
      </c>
      <c r="L50" s="38"/>
      <c r="M50" s="38"/>
      <c r="P50" s="39" t="n">
        <f aca="false">IFERROR(LARGE(Clients!$T$6:$T$25,3),"")</f>
        <v>22000.000009</v>
      </c>
      <c r="Q50" s="39" t="n">
        <f aca="false">IF(P50="","",MATCH(P50,Clients!$T$6:$T$25,0))</f>
        <v>4</v>
      </c>
    </row>
    <row r="51" customFormat="false" ht="15" hidden="false" customHeight="false" outlineLevel="0" collapsed="false">
      <c r="B51" s="40" t="str">
        <f aca="false">IF($Q51="","",INDEX(Clients!$B$6:$B$25,$Q51))</f>
        <v>Maple Lane Realty</v>
      </c>
      <c r="C51" s="40"/>
      <c r="D51" s="40"/>
      <c r="E51" s="41" t="n">
        <f aca="false">IF($Q51="","",INDEX(Clients!$M$6:$M$25,$Q51))</f>
        <v>16740</v>
      </c>
      <c r="F51" s="41" t="n">
        <f aca="false">IF($Q51="","",INDEX(Clients!$N$6:$N$25,$Q51))</f>
        <v>15120</v>
      </c>
      <c r="G51" s="41" t="n">
        <f aca="false">IF($Q51="","",INDEX(Clients!$O$6:$O$25,$Q51))</f>
        <v>1620</v>
      </c>
      <c r="H51" s="42" t="n">
        <f aca="false">IF($Q51="","",INDEX(Clients!$L$6:$L$25,$Q51))</f>
        <v>132.75</v>
      </c>
      <c r="I51" s="41" t="n">
        <f aca="false">IF($Q51="","",INDEX(Clients!$P$6:$P$25,$Q51))</f>
        <v>126.101694915254</v>
      </c>
      <c r="J51" s="43" t="n">
        <f aca="false">IF($Q51="","",INDEX(Clients!$Q$6:$Q$25,$Q51))</f>
        <v>0.132894057873219</v>
      </c>
      <c r="K51" s="44" t="str">
        <f aca="false">IF($Q51="","",INDEX(Clients!$S$6:$S$25,$Q51))</f>
        <v>Below your target rate</v>
      </c>
      <c r="L51" s="44"/>
      <c r="M51" s="44"/>
      <c r="P51" s="39" t="n">
        <f aca="false">IFERROR(LARGE(Clients!$T$6:$T$25,4),"")</f>
        <v>16740.000008</v>
      </c>
      <c r="Q51" s="39" t="n">
        <f aca="false">IF(P51="","",MATCH(P51,Clients!$T$6:$T$25,0))</f>
        <v>3</v>
      </c>
    </row>
    <row r="52" customFormat="false" ht="15" hidden="false" customHeight="false" outlineLevel="0" collapsed="false">
      <c r="B52" s="34" t="str">
        <f aca="false">IF($Q52="","",INDEX(Clients!$B$6:$B$25,$Q52))</f>
        <v>Ironclad Fitness</v>
      </c>
      <c r="C52" s="34"/>
      <c r="D52" s="34"/>
      <c r="E52" s="35" t="n">
        <f aca="false">IF($Q52="","",INDEX(Clients!$M$6:$M$25,$Q52))</f>
        <v>9000</v>
      </c>
      <c r="F52" s="35" t="n">
        <f aca="false">IF($Q52="","",INDEX(Clients!$N$6:$N$25,$Q52))</f>
        <v>9000</v>
      </c>
      <c r="G52" s="35" t="n">
        <f aca="false">IF($Q52="","",INDEX(Clients!$O$6:$O$25,$Q52))</f>
        <v>0</v>
      </c>
      <c r="H52" s="36" t="n">
        <f aca="false">IF($Q52="","",INDEX(Clients!$L$6:$L$25,$Q52))</f>
        <v>87.25</v>
      </c>
      <c r="I52" s="35" t="n">
        <f aca="false">IF($Q52="","",INDEX(Clients!$P$6:$P$25,$Q52))</f>
        <v>103.151862464183</v>
      </c>
      <c r="J52" s="37" t="n">
        <f aca="false">IF($Q52="","",INDEX(Clients!$Q$6:$Q$25,$Q52))</f>
        <v>0.0714484182114079</v>
      </c>
      <c r="K52" s="38" t="str">
        <f aca="false">IF($Q52="","",INDEX(Clients!$S$6:$S$25,$Q52))</f>
        <v/>
      </c>
      <c r="L52" s="38"/>
      <c r="M52" s="38"/>
      <c r="P52" s="39" t="n">
        <f aca="false">IFERROR(LARGE(Clients!$T$6:$T$25,5),"")</f>
        <v>9000.000011</v>
      </c>
      <c r="Q52" s="39" t="n">
        <f aca="false">IF(P52="","",MATCH(P52,Clients!$T$6:$T$25,0))</f>
        <v>6</v>
      </c>
    </row>
    <row r="53" customFormat="false" ht="15" hidden="false" customHeight="false" outlineLevel="0" collapsed="false">
      <c r="B53" s="40" t="str">
        <f aca="false">IF($Q53="","",INDEX(Clients!$B$6:$B$25,$Q53))</f>
        <v>Lakeside Law Group</v>
      </c>
      <c r="C53" s="40"/>
      <c r="D53" s="40"/>
      <c r="E53" s="41" t="n">
        <f aca="false">IF($Q53="","",INDEX(Clients!$M$6:$M$25,$Q53))</f>
        <v>8000</v>
      </c>
      <c r="F53" s="41" t="n">
        <f aca="false">IF($Q53="","",INDEX(Clients!$N$6:$N$25,$Q53))</f>
        <v>6080</v>
      </c>
      <c r="G53" s="41" t="n">
        <f aca="false">IF($Q53="","",INDEX(Clients!$O$6:$O$25,$Q53))</f>
        <v>1920</v>
      </c>
      <c r="H53" s="42" t="n">
        <f aca="false">IF($Q53="","",INDEX(Clients!$L$6:$L$25,$Q53))</f>
        <v>55.25</v>
      </c>
      <c r="I53" s="41" t="n">
        <f aca="false">IF($Q53="","",INDEX(Clients!$P$6:$P$25,$Q53))</f>
        <v>144.796380090498</v>
      </c>
      <c r="J53" s="43" t="n">
        <f aca="false">IF($Q53="","",INDEX(Clients!$Q$6:$Q$25,$Q53))</f>
        <v>0.0635097050768071</v>
      </c>
      <c r="K53" s="44" t="str">
        <f aca="false">IF($Q53="","",INDEX(Clients!$S$6:$S$25,$Q53))</f>
        <v>Healthy</v>
      </c>
      <c r="L53" s="44"/>
      <c r="M53" s="44"/>
      <c r="P53" s="39" t="n">
        <f aca="false">IFERROR(LARGE(Clients!$T$6:$T$25,6),"")</f>
        <v>8000.000012</v>
      </c>
      <c r="Q53" s="39" t="n">
        <f aca="false">IF(P53="","",MATCH(P53,Clients!$T$6:$T$25,0))</f>
        <v>7</v>
      </c>
    </row>
    <row r="54" customFormat="false" ht="15" hidden="false" customHeight="false" outlineLevel="0" collapsed="false">
      <c r="B54" s="34" t="str">
        <f aca="false">IF($Q54="","",INDEX(Clients!$B$6:$B$25,$Q54))</f>
        <v>Second Cup Cafe</v>
      </c>
      <c r="C54" s="34"/>
      <c r="D54" s="34"/>
      <c r="E54" s="35" t="n">
        <f aca="false">IF($Q54="","",INDEX(Clients!$M$6:$M$25,$Q54))</f>
        <v>7825</v>
      </c>
      <c r="F54" s="35" t="n">
        <f aca="false">IF($Q54="","",INDEX(Clients!$N$6:$N$25,$Q54))</f>
        <v>5925</v>
      </c>
      <c r="G54" s="35" t="n">
        <f aca="false">IF($Q54="","",INDEX(Clients!$O$6:$O$25,$Q54))</f>
        <v>1900</v>
      </c>
      <c r="H54" s="36" t="n">
        <f aca="false">IF($Q54="","",INDEX(Clients!$L$6:$L$25,$Q54))</f>
        <v>82</v>
      </c>
      <c r="I54" s="35" t="n">
        <f aca="false">IF($Q54="","",INDEX(Clients!$P$6:$P$25,$Q54))</f>
        <v>95.4268292682927</v>
      </c>
      <c r="J54" s="37" t="n">
        <f aca="false">IF($Q54="","",INDEX(Clients!$Q$6:$Q$25,$Q54))</f>
        <v>0.0621204302782519</v>
      </c>
      <c r="K54" s="38" t="str">
        <f aca="false">IF($Q54="","",INDEX(Clients!$S$6:$S$25,$Q54))</f>
        <v>Below your target rate</v>
      </c>
      <c r="L54" s="38"/>
      <c r="M54" s="38"/>
      <c r="P54" s="39" t="n">
        <f aca="false">IFERROR(LARGE(Clients!$T$6:$T$25,7),"")</f>
        <v>7825.00001</v>
      </c>
      <c r="Q54" s="39" t="n">
        <f aca="false">IF(P54="","",MATCH(P54,Clients!$T$6:$T$25,0))</f>
        <v>5</v>
      </c>
    </row>
    <row r="55" customFormat="false" ht="15" hidden="false" customHeight="false" outlineLevel="0" collapsed="false">
      <c r="B55" s="40" t="str">
        <f aca="false">IF($Q55="","",INDEX(Clients!$B$6:$B$25,$Q55))</f>
        <v>Pickle Barrel Deli</v>
      </c>
      <c r="C55" s="40"/>
      <c r="D55" s="40"/>
      <c r="E55" s="41" t="n">
        <f aca="false">IF($Q55="","",INDEX(Clients!$M$6:$M$25,$Q55))</f>
        <v>2400</v>
      </c>
      <c r="F55" s="41" t="n">
        <f aca="false">IF($Q55="","",INDEX(Clients!$N$6:$N$25,$Q55))</f>
        <v>1200</v>
      </c>
      <c r="G55" s="41" t="n">
        <f aca="false">IF($Q55="","",INDEX(Clients!$O$6:$O$25,$Q55))</f>
        <v>1200</v>
      </c>
      <c r="H55" s="42" t="n">
        <f aca="false">IF($Q55="","",INDEX(Clients!$L$6:$L$25,$Q55))</f>
        <v>39.5</v>
      </c>
      <c r="I55" s="41" t="n">
        <f aca="false">IF($Q55="","",INDEX(Clients!$P$6:$P$25,$Q55))</f>
        <v>60.7594936708861</v>
      </c>
      <c r="J55" s="43" t="n">
        <f aca="false">IF($Q55="","",INDEX(Clients!$Q$6:$Q$25,$Q55))</f>
        <v>0.0190529115230421</v>
      </c>
      <c r="K55" s="44" t="str">
        <f aca="false">IF($Q55="","",INDEX(Clients!$S$6:$S$25,$Q55))</f>
        <v>Below your target rate</v>
      </c>
      <c r="L55" s="44"/>
      <c r="M55" s="44"/>
      <c r="P55" s="39" t="n">
        <f aca="false">IFERROR(LARGE(Clients!$T$6:$T$25,8),"")</f>
        <v>2400.000013</v>
      </c>
      <c r="Q55" s="39" t="n">
        <f aca="false">IF(P55="","",MATCH(P55,Clients!$T$6:$T$25,0))</f>
        <v>8</v>
      </c>
    </row>
    <row r="56" customFormat="false" ht="15" hidden="false" customHeight="false" outlineLevel="0" collapsed="false">
      <c r="B56" s="34" t="str">
        <f aca="false">IF($Q56="","",INDEX(Clients!$B$6:$B$25,$Q56))</f>
        <v/>
      </c>
      <c r="C56" s="34"/>
      <c r="D56" s="34"/>
      <c r="E56" s="35" t="str">
        <f aca="false">IF($Q56="","",INDEX(Clients!$M$6:$M$25,$Q56))</f>
        <v/>
      </c>
      <c r="F56" s="35" t="str">
        <f aca="false">IF($Q56="","",INDEX(Clients!$N$6:$N$25,$Q56))</f>
        <v/>
      </c>
      <c r="G56" s="35" t="str">
        <f aca="false">IF($Q56="","",INDEX(Clients!$O$6:$O$25,$Q56))</f>
        <v/>
      </c>
      <c r="H56" s="36" t="str">
        <f aca="false">IF($Q56="","",INDEX(Clients!$L$6:$L$25,$Q56))</f>
        <v/>
      </c>
      <c r="I56" s="35" t="str">
        <f aca="false">IF($Q56="","",INDEX(Clients!$P$6:$P$25,$Q56))</f>
        <v/>
      </c>
      <c r="J56" s="37" t="str">
        <f aca="false">IF($Q56="","",INDEX(Clients!$Q$6:$Q$25,$Q56))</f>
        <v/>
      </c>
      <c r="K56" s="38" t="str">
        <f aca="false">IF($Q56="","",INDEX(Clients!$S$6:$S$25,$Q56))</f>
        <v/>
      </c>
      <c r="L56" s="38"/>
      <c r="M56" s="38"/>
      <c r="P56" s="39" t="str">
        <f aca="false">IFERROR(LARGE(Clients!$T$6:$T$25,9),"")</f>
        <v/>
      </c>
      <c r="Q56" s="39" t="str">
        <f aca="false">IF(P56="","",MATCH(P56,Clients!$T$6:$T$25,0))</f>
        <v/>
      </c>
    </row>
    <row r="57" customFormat="false" ht="15" hidden="false" customHeight="false" outlineLevel="0" collapsed="false">
      <c r="B57" s="40" t="str">
        <f aca="false">IF($Q57="","",INDEX(Clients!$B$6:$B$25,$Q57))</f>
        <v/>
      </c>
      <c r="C57" s="40"/>
      <c r="D57" s="40"/>
      <c r="E57" s="41" t="str">
        <f aca="false">IF($Q57="","",INDEX(Clients!$M$6:$M$25,$Q57))</f>
        <v/>
      </c>
      <c r="F57" s="41" t="str">
        <f aca="false">IF($Q57="","",INDEX(Clients!$N$6:$N$25,$Q57))</f>
        <v/>
      </c>
      <c r="G57" s="41" t="str">
        <f aca="false">IF($Q57="","",INDEX(Clients!$O$6:$O$25,$Q57))</f>
        <v/>
      </c>
      <c r="H57" s="42" t="str">
        <f aca="false">IF($Q57="","",INDEX(Clients!$L$6:$L$25,$Q57))</f>
        <v/>
      </c>
      <c r="I57" s="41" t="str">
        <f aca="false">IF($Q57="","",INDEX(Clients!$P$6:$P$25,$Q57))</f>
        <v/>
      </c>
      <c r="J57" s="43" t="str">
        <f aca="false">IF($Q57="","",INDEX(Clients!$Q$6:$Q$25,$Q57))</f>
        <v/>
      </c>
      <c r="K57" s="44" t="str">
        <f aca="false">IF($Q57="","",INDEX(Clients!$S$6:$S$25,$Q57))</f>
        <v/>
      </c>
      <c r="L57" s="44"/>
      <c r="M57" s="44"/>
      <c r="P57" s="39" t="str">
        <f aca="false">IFERROR(LARGE(Clients!$T$6:$T$25,10),"")</f>
        <v/>
      </c>
      <c r="Q57" s="39" t="str">
        <f aca="false">IF(P57="","",MATCH(P57,Clients!$T$6:$T$25,0))</f>
        <v/>
      </c>
    </row>
    <row r="89" customFormat="false" ht="15" hidden="false" customHeight="false" outlineLevel="0" collapsed="false">
      <c r="B89" s="45" t="s">
        <v>56</v>
      </c>
    </row>
    <row r="90" customFormat="false" ht="15" hidden="false" customHeight="false" outlineLevel="0" collapsed="false">
      <c r="B90" s="46" t="s">
        <v>57</v>
      </c>
      <c r="C90" s="47" t="s">
        <v>58</v>
      </c>
      <c r="D90" s="47" t="s">
        <v>59</v>
      </c>
      <c r="E90" s="47" t="s">
        <v>60</v>
      </c>
      <c r="F90" s="47" t="s">
        <v>61</v>
      </c>
      <c r="G90" s="47" t="s">
        <v>62</v>
      </c>
      <c r="H90" s="47" t="s">
        <v>63</v>
      </c>
      <c r="I90" s="47" t="s">
        <v>64</v>
      </c>
      <c r="J90" s="47" t="s">
        <v>65</v>
      </c>
      <c r="K90" s="47" t="s">
        <v>34</v>
      </c>
      <c r="L90" s="47" t="s">
        <v>66</v>
      </c>
      <c r="M90" s="47" t="s">
        <v>67</v>
      </c>
      <c r="N90" s="47" t="s">
        <v>68</v>
      </c>
    </row>
    <row r="91" customFormat="false" ht="15" hidden="false" customHeight="false" outlineLevel="0" collapsed="false">
      <c r="B91" s="46" t="s">
        <v>69</v>
      </c>
      <c r="C91" s="47" t="n">
        <f aca="false">'Profit &amp; Loss'!B28</f>
        <v>5700</v>
      </c>
      <c r="D91" s="47" t="n">
        <f aca="false">'Profit &amp; Loss'!C28</f>
        <v>9075</v>
      </c>
      <c r="E91" s="47" t="n">
        <f aca="false">'Profit &amp; Loss'!D28</f>
        <v>16427.5</v>
      </c>
      <c r="F91" s="47" t="n">
        <f aca="false">'Profit &amp; Loss'!E28</f>
        <v>8450</v>
      </c>
      <c r="G91" s="47" t="n">
        <f aca="false">'Profit &amp; Loss'!F28</f>
        <v>12422.5</v>
      </c>
      <c r="H91" s="47" t="n">
        <f aca="false">'Profit &amp; Loss'!G28</f>
        <v>15503.75</v>
      </c>
      <c r="I91" s="47" t="n">
        <f aca="false">'Profit &amp; Loss'!H28</f>
        <v>14132.5</v>
      </c>
      <c r="J91" s="47" t="n">
        <f aca="false">'Profit &amp; Loss'!I28</f>
        <v>14963.75</v>
      </c>
      <c r="K91" s="47" t="n">
        <f aca="false">'Profit &amp; Loss'!J28</f>
        <v>12685</v>
      </c>
      <c r="L91" s="47" t="n">
        <f aca="false">'Profit &amp; Loss'!K28</f>
        <v>5390</v>
      </c>
      <c r="M91" s="47" t="n">
        <f aca="false">'Profit &amp; Loss'!L28</f>
        <v>0</v>
      </c>
      <c r="N91" s="47" t="n">
        <f aca="false">'Profit &amp; Loss'!M28</f>
        <v>0</v>
      </c>
    </row>
    <row r="92" customFormat="false" ht="15" hidden="false" customHeight="false" outlineLevel="0" collapsed="false">
      <c r="B92" s="46" t="s">
        <v>70</v>
      </c>
      <c r="C92" s="47" t="n">
        <f aca="false">'Profit &amp; Loss'!B38</f>
        <v>3235.7</v>
      </c>
      <c r="D92" s="47" t="n">
        <f aca="false">'Profit &amp; Loss'!C38</f>
        <v>2299.88</v>
      </c>
      <c r="E92" s="47" t="n">
        <f aca="false">'Profit &amp; Loss'!D38</f>
        <v>4343.02</v>
      </c>
      <c r="F92" s="47" t="n">
        <f aca="false">'Profit &amp; Loss'!E38</f>
        <v>4651.75</v>
      </c>
      <c r="G92" s="47" t="n">
        <f aca="false">'Profit &amp; Loss'!F38</f>
        <v>2342.76</v>
      </c>
      <c r="H92" s="47" t="n">
        <f aca="false">'Profit &amp; Loss'!G38</f>
        <v>2547.87</v>
      </c>
      <c r="I92" s="47" t="n">
        <f aca="false">'Profit &amp; Loss'!H38</f>
        <v>2427.54</v>
      </c>
      <c r="J92" s="47" t="n">
        <f aca="false">'Profit &amp; Loss'!I38</f>
        <v>2952.97</v>
      </c>
      <c r="K92" s="47" t="n">
        <f aca="false">'Profit &amp; Loss'!J38</f>
        <v>2396.36</v>
      </c>
      <c r="L92" s="47" t="n">
        <f aca="false">'Profit &amp; Loss'!K38</f>
        <v>0</v>
      </c>
      <c r="M92" s="47" t="n">
        <f aca="false">'Profit &amp; Loss'!L38</f>
        <v>0</v>
      </c>
      <c r="N92" s="47" t="n">
        <f aca="false">'Profit &amp; Loss'!M38</f>
        <v>0</v>
      </c>
    </row>
    <row r="93" customFormat="false" ht="15" hidden="false" customHeight="false" outlineLevel="0" collapsed="false">
      <c r="B93" s="46" t="s">
        <v>71</v>
      </c>
      <c r="C93" s="47" t="n">
        <f aca="false">'Profit &amp; Loss'!B40</f>
        <v>2464.3</v>
      </c>
      <c r="D93" s="47" t="n">
        <f aca="false">'Profit &amp; Loss'!C40</f>
        <v>6775.12</v>
      </c>
      <c r="E93" s="47" t="n">
        <f aca="false">'Profit &amp; Loss'!D40</f>
        <v>12084.48</v>
      </c>
      <c r="F93" s="47" t="n">
        <f aca="false">'Profit &amp; Loss'!E40</f>
        <v>3798.25</v>
      </c>
      <c r="G93" s="47" t="n">
        <f aca="false">'Profit &amp; Loss'!F40</f>
        <v>10079.74</v>
      </c>
      <c r="H93" s="47" t="n">
        <f aca="false">'Profit &amp; Loss'!G40</f>
        <v>12955.88</v>
      </c>
      <c r="I93" s="47" t="n">
        <f aca="false">'Profit &amp; Loss'!H40</f>
        <v>11704.96</v>
      </c>
      <c r="J93" s="47" t="n">
        <f aca="false">'Profit &amp; Loss'!I40</f>
        <v>12010.78</v>
      </c>
      <c r="K93" s="47" t="n">
        <f aca="false">'Profit &amp; Loss'!J40</f>
        <v>10288.64</v>
      </c>
      <c r="L93" s="47" t="n">
        <f aca="false">'Profit &amp; Loss'!K40</f>
        <v>5390</v>
      </c>
      <c r="M93" s="47" t="n">
        <f aca="false">'Profit &amp; Loss'!L40</f>
        <v>0</v>
      </c>
      <c r="N93" s="47" t="n">
        <f aca="false">'Profit &amp; Loss'!M40</f>
        <v>0</v>
      </c>
    </row>
  </sheetData>
  <mergeCells count="68">
    <mergeCell ref="B8:D8"/>
    <mergeCell ref="E8:G8"/>
    <mergeCell ref="H8:J8"/>
    <mergeCell ref="K8:M8"/>
    <mergeCell ref="B9:D10"/>
    <mergeCell ref="E9:G10"/>
    <mergeCell ref="H9:J10"/>
    <mergeCell ref="K9:M10"/>
    <mergeCell ref="B11:D11"/>
    <mergeCell ref="E11:G11"/>
    <mergeCell ref="H11:J11"/>
    <mergeCell ref="K11:M11"/>
    <mergeCell ref="B12:D12"/>
    <mergeCell ref="E12:G12"/>
    <mergeCell ref="H12:J12"/>
    <mergeCell ref="K12:M12"/>
    <mergeCell ref="B13:D13"/>
    <mergeCell ref="E13:G13"/>
    <mergeCell ref="H13:J13"/>
    <mergeCell ref="K13:M13"/>
    <mergeCell ref="B15:D15"/>
    <mergeCell ref="E15:G15"/>
    <mergeCell ref="H15:J15"/>
    <mergeCell ref="K15:M15"/>
    <mergeCell ref="B16:D17"/>
    <mergeCell ref="E16:G17"/>
    <mergeCell ref="H16:J17"/>
    <mergeCell ref="K16:M17"/>
    <mergeCell ref="B18:D18"/>
    <mergeCell ref="E18:G18"/>
    <mergeCell ref="H18:J18"/>
    <mergeCell ref="K18:M18"/>
    <mergeCell ref="B19:D19"/>
    <mergeCell ref="E19:G19"/>
    <mergeCell ref="H19:J19"/>
    <mergeCell ref="K19:M19"/>
    <mergeCell ref="B20:D20"/>
    <mergeCell ref="E20:G20"/>
    <mergeCell ref="H20:J20"/>
    <mergeCell ref="K20:M20"/>
    <mergeCell ref="C23:M23"/>
    <mergeCell ref="C24:M24"/>
    <mergeCell ref="C25:M25"/>
    <mergeCell ref="C26:M26"/>
    <mergeCell ref="C27:M27"/>
    <mergeCell ref="C28:M28"/>
    <mergeCell ref="B47:D47"/>
    <mergeCell ref="K47:M47"/>
    <mergeCell ref="B48:D48"/>
    <mergeCell ref="K48:M48"/>
    <mergeCell ref="B49:D49"/>
    <mergeCell ref="K49:M49"/>
    <mergeCell ref="B50:D50"/>
    <mergeCell ref="K50:M50"/>
    <mergeCell ref="B51:D51"/>
    <mergeCell ref="K51:M51"/>
    <mergeCell ref="B52:D52"/>
    <mergeCell ref="K52:M52"/>
    <mergeCell ref="B53:D53"/>
    <mergeCell ref="K53:M53"/>
    <mergeCell ref="B54:D54"/>
    <mergeCell ref="K54:M54"/>
    <mergeCell ref="B55:D55"/>
    <mergeCell ref="K55:M55"/>
    <mergeCell ref="B56:D56"/>
    <mergeCell ref="K56:M56"/>
    <mergeCell ref="B57:D57"/>
    <mergeCell ref="K57:M57"/>
  </mergeCells>
  <conditionalFormatting sqref="B13">
    <cfRule type="expression" priority="2" aboveAverage="0" equalAverage="0" bottom="0" percent="0" rank="0" text="" dxfId="0">
      <formula>OR(ISNUMBER(SEARCH("Behind",B13)),ISNUMBER(SEARCH("Over",B13)),ISNUMBER(SEARCH("Below",B13)),ISNUMBER(SEARCH("Low",B13)),ISNUMBER(SEARCH("overdue",B13)),ISNUMBER(SEARCH("Chase",B13)),ISNUMBER(SEARCH("Build",B13)))</formula>
    </cfRule>
    <cfRule type="expression" priority="3" aboveAverage="0" equalAverage="0" bottom="0" percent="0" rank="0" text="" dxfId="1">
      <formula>OR(ISNUMBER(SEARCH("Ahead",B13)),ISNUMBER(SEARCH("Healthy",B13)),ISNUMBER(SEARCH("All good",B13)),ISNUMBER(SEARCH("At or above",B13)),ISNUMBER(SEARCH("on track",B13)),ISNUMBER(SEARCH("On budget",B13)))</formula>
    </cfRule>
  </conditionalFormatting>
  <conditionalFormatting sqref="E13">
    <cfRule type="expression" priority="4" aboveAverage="0" equalAverage="0" bottom="0" percent="0" rank="0" text="" dxfId="0">
      <formula>OR(ISNUMBER(SEARCH("Behind",E13)),ISNUMBER(SEARCH("Over",E13)),ISNUMBER(SEARCH("Below",E13)),ISNUMBER(SEARCH("Low",E13)),ISNUMBER(SEARCH("overdue",E13)),ISNUMBER(SEARCH("Chase",E13)),ISNUMBER(SEARCH("Build",E13)))</formula>
    </cfRule>
    <cfRule type="expression" priority="5" aboveAverage="0" equalAverage="0" bottom="0" percent="0" rank="0" text="" dxfId="1">
      <formula>OR(ISNUMBER(SEARCH("Ahead",E13)),ISNUMBER(SEARCH("Healthy",E13)),ISNUMBER(SEARCH("All good",E13)),ISNUMBER(SEARCH("At or above",E13)),ISNUMBER(SEARCH("on track",E13)),ISNUMBER(SEARCH("On budget",E13)))</formula>
    </cfRule>
  </conditionalFormatting>
  <conditionalFormatting sqref="H13">
    <cfRule type="expression" priority="6" aboveAverage="0" equalAverage="0" bottom="0" percent="0" rank="0" text="" dxfId="0">
      <formula>OR(ISNUMBER(SEARCH("Behind",H13)),ISNUMBER(SEARCH("Over",H13)),ISNUMBER(SEARCH("Below",H13)),ISNUMBER(SEARCH("Low",H13)),ISNUMBER(SEARCH("overdue",H13)),ISNUMBER(SEARCH("Chase",H13)),ISNUMBER(SEARCH("Build",H13)))</formula>
    </cfRule>
    <cfRule type="expression" priority="7" aboveAverage="0" equalAverage="0" bottom="0" percent="0" rank="0" text="" dxfId="1">
      <formula>OR(ISNUMBER(SEARCH("Ahead",H13)),ISNUMBER(SEARCH("Healthy",H13)),ISNUMBER(SEARCH("All good",H13)),ISNUMBER(SEARCH("At or above",H13)),ISNUMBER(SEARCH("on track",H13)),ISNUMBER(SEARCH("On budget",H13)))</formula>
    </cfRule>
  </conditionalFormatting>
  <conditionalFormatting sqref="K13">
    <cfRule type="expression" priority="8" aboveAverage="0" equalAverage="0" bottom="0" percent="0" rank="0" text="" dxfId="0">
      <formula>OR(ISNUMBER(SEARCH("Behind",K13)),ISNUMBER(SEARCH("Over",K13)),ISNUMBER(SEARCH("Below",K13)),ISNUMBER(SEARCH("Low",K13)),ISNUMBER(SEARCH("overdue",K13)),ISNUMBER(SEARCH("Chase",K13)),ISNUMBER(SEARCH("Build",K13)))</formula>
    </cfRule>
    <cfRule type="expression" priority="9" aboveAverage="0" equalAverage="0" bottom="0" percent="0" rank="0" text="" dxfId="1">
      <formula>OR(ISNUMBER(SEARCH("Ahead",K13)),ISNUMBER(SEARCH("Healthy",K13)),ISNUMBER(SEARCH("All good",K13)),ISNUMBER(SEARCH("At or above",K13)),ISNUMBER(SEARCH("on track",K13)),ISNUMBER(SEARCH("On budget",K13)))</formula>
    </cfRule>
  </conditionalFormatting>
  <conditionalFormatting sqref="B20">
    <cfRule type="expression" priority="10" aboveAverage="0" equalAverage="0" bottom="0" percent="0" rank="0" text="" dxfId="0">
      <formula>OR(ISNUMBER(SEARCH("Behind",B20)),ISNUMBER(SEARCH("Over",B20)),ISNUMBER(SEARCH("Below",B20)),ISNUMBER(SEARCH("Low",B20)),ISNUMBER(SEARCH("overdue",B20)),ISNUMBER(SEARCH("Chase",B20)),ISNUMBER(SEARCH("Build",B20)))</formula>
    </cfRule>
    <cfRule type="expression" priority="11" aboveAverage="0" equalAverage="0" bottom="0" percent="0" rank="0" text="" dxfId="1">
      <formula>OR(ISNUMBER(SEARCH("Ahead",B20)),ISNUMBER(SEARCH("Healthy",B20)),ISNUMBER(SEARCH("All good",B20)),ISNUMBER(SEARCH("At or above",B20)),ISNUMBER(SEARCH("on track",B20)),ISNUMBER(SEARCH("On budget",B20)))</formula>
    </cfRule>
  </conditionalFormatting>
  <conditionalFormatting sqref="E20">
    <cfRule type="expression" priority="12" aboveAverage="0" equalAverage="0" bottom="0" percent="0" rank="0" text="" dxfId="0">
      <formula>OR(ISNUMBER(SEARCH("Behind",E20)),ISNUMBER(SEARCH("Over",E20)),ISNUMBER(SEARCH("Below",E20)),ISNUMBER(SEARCH("Low",E20)),ISNUMBER(SEARCH("overdue",E20)),ISNUMBER(SEARCH("Chase",E20)),ISNUMBER(SEARCH("Build",E20)))</formula>
    </cfRule>
    <cfRule type="expression" priority="13" aboveAverage="0" equalAverage="0" bottom="0" percent="0" rank="0" text="" dxfId="1">
      <formula>OR(ISNUMBER(SEARCH("Ahead",E20)),ISNUMBER(SEARCH("Healthy",E20)),ISNUMBER(SEARCH("All good",E20)),ISNUMBER(SEARCH("At or above",E20)),ISNUMBER(SEARCH("on track",E20)),ISNUMBER(SEARCH("On budget",E20)))</formula>
    </cfRule>
  </conditionalFormatting>
  <conditionalFormatting sqref="H20">
    <cfRule type="expression" priority="14" aboveAverage="0" equalAverage="0" bottom="0" percent="0" rank="0" text="" dxfId="0">
      <formula>OR(ISNUMBER(SEARCH("Behind",H20)),ISNUMBER(SEARCH("Over",H20)),ISNUMBER(SEARCH("Below",H20)),ISNUMBER(SEARCH("Low",H20)),ISNUMBER(SEARCH("overdue",H20)),ISNUMBER(SEARCH("Chase",H20)),ISNUMBER(SEARCH("Build",H20)))</formula>
    </cfRule>
    <cfRule type="expression" priority="15" aboveAverage="0" equalAverage="0" bottom="0" percent="0" rank="0" text="" dxfId="1">
      <formula>OR(ISNUMBER(SEARCH("Ahead",H20)),ISNUMBER(SEARCH("Healthy",H20)),ISNUMBER(SEARCH("All good",H20)),ISNUMBER(SEARCH("At or above",H20)),ISNUMBER(SEARCH("on track",H20)),ISNUMBER(SEARCH("On budget",H20)))</formula>
    </cfRule>
  </conditionalFormatting>
  <conditionalFormatting sqref="K20">
    <cfRule type="expression" priority="16" aboveAverage="0" equalAverage="0" bottom="0" percent="0" rank="0" text="" dxfId="0">
      <formula>OR(ISNUMBER(SEARCH("Behind",K20)),ISNUMBER(SEARCH("Over",K20)),ISNUMBER(SEARCH("Below",K20)),ISNUMBER(SEARCH("Low",K20)),ISNUMBER(SEARCH("overdue",K20)),ISNUMBER(SEARCH("Chase",K20)),ISNUMBER(SEARCH("Build",K20)))</formula>
    </cfRule>
    <cfRule type="expression" priority="17" aboveAverage="0" equalAverage="0" bottom="0" percent="0" rank="0" text="" dxfId="1">
      <formula>OR(ISNUMBER(SEARCH("Ahead",K20)),ISNUMBER(SEARCH("Healthy",K20)),ISNUMBER(SEARCH("All good",K20)),ISNUMBER(SEARCH("At or above",K20)),ISNUMBER(SEARCH("on track",K20)),ISNUMBER(SEARCH("On budget",K20)))</formula>
    </cfRule>
  </conditionalFormatting>
  <conditionalFormatting sqref="K48:K57">
    <cfRule type="expression" priority="18" aboveAverage="0" equalAverage="0" bottom="0" percent="0" rank="0" text="" dxfId="1">
      <formula>K48="Healthy"</formula>
    </cfRule>
    <cfRule type="expression" priority="19" aboveAverage="0" equalAverage="0" bottom="0" percent="0" rank="0" text="" dxfId="0">
      <formula>LEFT(K48,3)="Too"</formula>
    </cfRule>
    <cfRule type="expression" priority="20" aboveAverage="0" equalAverage="0" bottom="0" percent="0" rank="0" text="" dxfId="2">
      <formula>OR(LEFT(K48,5)="Below",LEFT(K48,4)="Slow")</formula>
    </cfRule>
  </conditionalFormatting>
  <dataValidations count="1">
    <dataValidation allowBlank="true" errorStyle="stop" operator="between" showDropDown="false" showErrorMessage="false" showInputMessage="false" sqref="C5" type="list">
      <formula1>"Jan,Feb,Mar,Apr,May,Jun,Jul,Aug,Sep,Oct,Nov,Dec"</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O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24"/>
    <col collapsed="false" customWidth="true" hidden="false" outlineLevel="0" max="4" min="4" style="0" width="15"/>
    <col collapsed="false" customWidth="true" hidden="false" outlineLevel="0" max="5" min="5" style="0" width="58"/>
    <col collapsed="false" customWidth="true" hidden="false" outlineLevel="0" max="6" min="6" style="0" width="3"/>
    <col collapsed="false" customWidth="true" hidden="false" outlineLevel="0" max="7" min="7" style="0" width="24"/>
    <col collapsed="false" customWidth="true" hidden="false" outlineLevel="0" max="8" min="8" style="0" width="12"/>
    <col collapsed="false" customWidth="true" hidden="false" outlineLevel="0" max="9" min="9" style="0" width="22"/>
    <col collapsed="false" customWidth="true" hidden="false" outlineLevel="0" max="10" min="10" style="0" width="18"/>
    <col collapsed="false" customWidth="true" hidden="false" outlineLevel="0" max="11" min="11" style="0" width="15"/>
    <col collapsed="false" customWidth="true" hidden="false" outlineLevel="0" max="12" min="12" style="0" width="10"/>
    <col collapsed="false" customWidth="true" hidden="false" outlineLevel="0" max="13" min="13" style="0" width="11"/>
    <col collapsed="false" customWidth="true" hidden="false" outlineLevel="0" max="14" min="14" style="0" width="9"/>
    <col collapsed="false" customWidth="true" hidden="false" outlineLevel="0" max="15" min="15" style="0" width="26"/>
  </cols>
  <sheetData>
    <row r="1" customFormat="false" ht="22.05" hidden="false" customHeight="false" outlineLevel="0" collapsed="false">
      <c r="B1" s="48" t="s">
        <v>72</v>
      </c>
    </row>
    <row r="2" customFormat="false" ht="15" hidden="false" customHeight="false" outlineLevel="0" collapsed="false">
      <c r="B2" s="49" t="s">
        <v>73</v>
      </c>
    </row>
    <row r="4" customFormat="false" ht="15" hidden="false" customHeight="false" outlineLevel="0" collapsed="false">
      <c r="B4" s="50" t="s">
        <v>74</v>
      </c>
      <c r="C4" s="51" t="s">
        <v>75</v>
      </c>
      <c r="E4" s="19" t="s">
        <v>76</v>
      </c>
    </row>
    <row r="5" customFormat="false" ht="15" hidden="false" customHeight="false" outlineLevel="0" collapsed="false">
      <c r="B5" s="50" t="s">
        <v>77</v>
      </c>
      <c r="C5" s="52" t="n">
        <v>2026</v>
      </c>
      <c r="E5" s="19" t="s">
        <v>78</v>
      </c>
    </row>
    <row r="6" customFormat="false" ht="15" hidden="false" customHeight="false" outlineLevel="0" collapsed="false">
      <c r="B6" s="50" t="s">
        <v>79</v>
      </c>
      <c r="C6" s="53" t="n">
        <v>150000</v>
      </c>
      <c r="E6" s="19" t="s">
        <v>80</v>
      </c>
    </row>
    <row r="7" customFormat="false" ht="15" hidden="false" customHeight="false" outlineLevel="0" collapsed="false">
      <c r="B7" s="50" t="s">
        <v>81</v>
      </c>
      <c r="C7" s="53" t="n">
        <v>15000</v>
      </c>
      <c r="E7" s="19" t="s">
        <v>82</v>
      </c>
    </row>
    <row r="8" customFormat="false" ht="15" hidden="false" customHeight="false" outlineLevel="0" collapsed="false">
      <c r="B8" s="50" t="s">
        <v>83</v>
      </c>
      <c r="C8" s="54" t="n">
        <v>0.28</v>
      </c>
      <c r="E8" s="19" t="s">
        <v>84</v>
      </c>
    </row>
    <row r="9" customFormat="false" ht="15" hidden="false" customHeight="false" outlineLevel="0" collapsed="false">
      <c r="B9" s="50" t="s">
        <v>85</v>
      </c>
      <c r="C9" s="52" t="n">
        <v>25</v>
      </c>
      <c r="E9" s="19" t="s">
        <v>86</v>
      </c>
    </row>
    <row r="10" customFormat="false" ht="15" hidden="false" customHeight="false" outlineLevel="0" collapsed="false">
      <c r="B10" s="50" t="s">
        <v>87</v>
      </c>
      <c r="C10" s="52" t="n">
        <v>30</v>
      </c>
      <c r="E10" s="19" t="s">
        <v>88</v>
      </c>
    </row>
    <row r="11" customFormat="false" ht="15" hidden="false" customHeight="false" outlineLevel="0" collapsed="false">
      <c r="B11" s="50" t="s">
        <v>89</v>
      </c>
      <c r="C11" s="51" t="s">
        <v>90</v>
      </c>
      <c r="E11" s="19" t="s">
        <v>91</v>
      </c>
    </row>
    <row r="12" customFormat="false" ht="15" hidden="false" customHeight="false" outlineLevel="0" collapsed="false">
      <c r="B12" s="50" t="s">
        <v>92</v>
      </c>
      <c r="C12" s="55" t="n">
        <f aca="false">SUMIFS(D16:D45,C16:C45,"&lt;&gt;"&amp;G19)</f>
        <v>2970</v>
      </c>
      <c r="E12" s="19" t="s">
        <v>93</v>
      </c>
    </row>
    <row r="13" customFormat="false" ht="15" hidden="false" customHeight="false" outlineLevel="0" collapsed="false">
      <c r="B13" s="50" t="s">
        <v>94</v>
      </c>
      <c r="C13" s="55" t="n">
        <f aca="false">SUMIFS(D16:D45,C16:C45,G16)+SUMIFS(D16:D45,C16:C45,G17)</f>
        <v>2095</v>
      </c>
      <c r="E13" s="19" t="s">
        <v>95</v>
      </c>
    </row>
    <row r="15" customFormat="false" ht="30" hidden="false" customHeight="true" outlineLevel="0" collapsed="false">
      <c r="B15" s="56" t="s">
        <v>96</v>
      </c>
      <c r="C15" s="57" t="s">
        <v>97</v>
      </c>
      <c r="D15" s="57" t="s">
        <v>98</v>
      </c>
      <c r="E15" s="57" t="s">
        <v>99</v>
      </c>
      <c r="G15" s="58" t="s">
        <v>100</v>
      </c>
      <c r="H15" s="58" t="s">
        <v>101</v>
      </c>
      <c r="I15" s="58" t="s">
        <v>102</v>
      </c>
      <c r="J15" s="58" t="s">
        <v>103</v>
      </c>
      <c r="K15" s="58" t="s">
        <v>104</v>
      </c>
      <c r="L15" s="58" t="s">
        <v>105</v>
      </c>
      <c r="M15" s="58" t="s">
        <v>106</v>
      </c>
      <c r="O15" s="59" t="s">
        <v>107</v>
      </c>
    </row>
    <row r="16" customFormat="false" ht="15" hidden="false" customHeight="false" outlineLevel="0" collapsed="false">
      <c r="B16" s="51" t="s">
        <v>108</v>
      </c>
      <c r="C16" s="51" t="s">
        <v>109</v>
      </c>
      <c r="D16" s="53" t="n">
        <v>4500</v>
      </c>
      <c r="E16" s="19" t="s">
        <v>110</v>
      </c>
      <c r="G16" s="34" t="s">
        <v>111</v>
      </c>
      <c r="H16" s="51" t="s">
        <v>112</v>
      </c>
      <c r="I16" s="51" t="s">
        <v>113</v>
      </c>
      <c r="J16" s="51" t="s">
        <v>114</v>
      </c>
      <c r="K16" s="51" t="s">
        <v>115</v>
      </c>
      <c r="L16" s="54" t="n">
        <v>0.1</v>
      </c>
      <c r="M16" s="51" t="s">
        <v>116</v>
      </c>
      <c r="O16" s="60" t="s">
        <v>117</v>
      </c>
    </row>
    <row r="17" customFormat="false" ht="15" hidden="false" customHeight="false" outlineLevel="0" collapsed="false">
      <c r="B17" s="51" t="s">
        <v>118</v>
      </c>
      <c r="C17" s="51" t="s">
        <v>109</v>
      </c>
      <c r="D17" s="53" t="n">
        <v>1500</v>
      </c>
      <c r="E17" s="19" t="s">
        <v>119</v>
      </c>
      <c r="G17" s="34" t="s">
        <v>120</v>
      </c>
      <c r="H17" s="51" t="s">
        <v>121</v>
      </c>
      <c r="I17" s="51" t="s">
        <v>122</v>
      </c>
      <c r="J17" s="51" t="s">
        <v>123</v>
      </c>
      <c r="K17" s="51" t="s">
        <v>124</v>
      </c>
      <c r="L17" s="54" t="n">
        <v>0.2</v>
      </c>
      <c r="M17" s="51" t="s">
        <v>125</v>
      </c>
      <c r="O17" s="60" t="str">
        <f aca="false">IF(Clients!B6="","",Clients!B6)</f>
        <v>Copperline HVAC</v>
      </c>
    </row>
    <row r="18" customFormat="false" ht="15" hidden="false" customHeight="false" outlineLevel="0" collapsed="false">
      <c r="B18" s="51" t="s">
        <v>126</v>
      </c>
      <c r="C18" s="51" t="s">
        <v>111</v>
      </c>
      <c r="D18" s="53" t="n">
        <v>550</v>
      </c>
      <c r="E18" s="19" t="s">
        <v>127</v>
      </c>
      <c r="G18" s="34" t="s">
        <v>128</v>
      </c>
      <c r="H18" s="51" t="s">
        <v>129</v>
      </c>
      <c r="I18" s="51" t="s">
        <v>130</v>
      </c>
      <c r="J18" s="51" t="s">
        <v>131</v>
      </c>
      <c r="K18" s="51" t="s">
        <v>132</v>
      </c>
      <c r="L18" s="54" t="n">
        <v>0.4</v>
      </c>
      <c r="M18" s="51" t="s">
        <v>133</v>
      </c>
      <c r="O18" s="60" t="str">
        <f aca="false">IF(Clients!B7="","",Clients!B7)</f>
        <v>Northstar Pet Resort</v>
      </c>
    </row>
    <row r="19" customFormat="false" ht="15" hidden="false" customHeight="false" outlineLevel="0" collapsed="false">
      <c r="B19" s="51" t="s">
        <v>134</v>
      </c>
      <c r="C19" s="51" t="s">
        <v>111</v>
      </c>
      <c r="D19" s="53" t="n">
        <v>140</v>
      </c>
      <c r="E19" s="19" t="s">
        <v>135</v>
      </c>
      <c r="G19" s="34" t="s">
        <v>109</v>
      </c>
      <c r="I19" s="51" t="s">
        <v>55</v>
      </c>
      <c r="J19" s="51" t="s">
        <v>136</v>
      </c>
      <c r="K19" s="51" t="s">
        <v>137</v>
      </c>
      <c r="L19" s="54" t="n">
        <v>0.6</v>
      </c>
      <c r="O19" s="60" t="str">
        <f aca="false">IF(Clients!B8="","",Clients!B8)</f>
        <v>Maple Lane Realty</v>
      </c>
    </row>
    <row r="20" customFormat="false" ht="15" hidden="false" customHeight="false" outlineLevel="0" collapsed="false">
      <c r="B20" s="51" t="s">
        <v>138</v>
      </c>
      <c r="C20" s="51" t="s">
        <v>111</v>
      </c>
      <c r="D20" s="53" t="n">
        <v>85</v>
      </c>
      <c r="E20" s="19"/>
      <c r="I20" s="51" t="s">
        <v>139</v>
      </c>
      <c r="J20" s="51" t="s">
        <v>140</v>
      </c>
      <c r="K20" s="51" t="s">
        <v>141</v>
      </c>
      <c r="L20" s="54" t="n">
        <v>0.8</v>
      </c>
      <c r="O20" s="60" t="str">
        <f aca="false">IF(Clients!B9="","",Clients!B9)</f>
        <v>Bramble Family Dental</v>
      </c>
    </row>
    <row r="21" customFormat="false" ht="15" hidden="false" customHeight="false" outlineLevel="0" collapsed="false">
      <c r="B21" s="51" t="s">
        <v>142</v>
      </c>
      <c r="C21" s="51" t="s">
        <v>111</v>
      </c>
      <c r="D21" s="53" t="n">
        <v>120</v>
      </c>
      <c r="E21" s="19" t="s">
        <v>143</v>
      </c>
      <c r="I21" s="51" t="s">
        <v>144</v>
      </c>
      <c r="J21" s="51" t="s">
        <v>145</v>
      </c>
      <c r="K21" s="51" t="s">
        <v>146</v>
      </c>
      <c r="L21" s="54" t="n">
        <v>1</v>
      </c>
      <c r="O21" s="60" t="str">
        <f aca="false">IF(Clients!B10="","",Clients!B10)</f>
        <v>Second Cup Cafe</v>
      </c>
    </row>
    <row r="22" customFormat="false" ht="15" hidden="false" customHeight="false" outlineLevel="0" collapsed="false">
      <c r="B22" s="51" t="s">
        <v>147</v>
      </c>
      <c r="C22" s="51" t="s">
        <v>111</v>
      </c>
      <c r="D22" s="53" t="n">
        <v>145</v>
      </c>
      <c r="E22" s="19" t="s">
        <v>148</v>
      </c>
      <c r="J22" s="51" t="s">
        <v>149</v>
      </c>
      <c r="K22" s="51" t="s">
        <v>150</v>
      </c>
      <c r="L22" s="54" t="n">
        <v>0</v>
      </c>
      <c r="O22" s="60" t="str">
        <f aca="false">IF(Clients!B11="","",Clients!B11)</f>
        <v>Ironclad Fitness</v>
      </c>
    </row>
    <row r="23" customFormat="false" ht="15" hidden="false" customHeight="false" outlineLevel="0" collapsed="false">
      <c r="B23" s="51" t="s">
        <v>151</v>
      </c>
      <c r="C23" s="51" t="s">
        <v>111</v>
      </c>
      <c r="D23" s="53" t="n">
        <v>100</v>
      </c>
      <c r="E23" s="19" t="s">
        <v>152</v>
      </c>
      <c r="J23" s="51" t="s">
        <v>153</v>
      </c>
      <c r="O23" s="60" t="str">
        <f aca="false">IF(Clients!B12="","",Clients!B12)</f>
        <v>Lakeside Law Group</v>
      </c>
    </row>
    <row r="24" customFormat="false" ht="15" hidden="false" customHeight="false" outlineLevel="0" collapsed="false">
      <c r="B24" s="51" t="s">
        <v>154</v>
      </c>
      <c r="C24" s="51" t="s">
        <v>111</v>
      </c>
      <c r="D24" s="53" t="n">
        <v>30</v>
      </c>
      <c r="E24" s="19"/>
      <c r="J24" s="51" t="s">
        <v>155</v>
      </c>
      <c r="O24" s="60" t="str">
        <f aca="false">IF(Clients!B13="","",Clients!B13)</f>
        <v>Pickle Barrel Deli</v>
      </c>
    </row>
    <row r="25" customFormat="false" ht="15" hidden="false" customHeight="false" outlineLevel="0" collapsed="false">
      <c r="B25" s="51" t="s">
        <v>156</v>
      </c>
      <c r="C25" s="51" t="s">
        <v>111</v>
      </c>
      <c r="D25" s="53" t="n">
        <v>75</v>
      </c>
      <c r="E25" s="19" t="s">
        <v>157</v>
      </c>
      <c r="J25" s="51" t="s">
        <v>158</v>
      </c>
      <c r="O25" s="60" t="str">
        <f aca="false">IF(Clients!B14="","",Clients!B14)</f>
        <v/>
      </c>
    </row>
    <row r="26" customFormat="false" ht="15" hidden="false" customHeight="true" outlineLevel="0" collapsed="false">
      <c r="B26" s="51" t="s">
        <v>159</v>
      </c>
      <c r="C26" s="51" t="s">
        <v>111</v>
      </c>
      <c r="D26" s="53" t="n">
        <v>80</v>
      </c>
      <c r="E26" s="19" t="s">
        <v>160</v>
      </c>
      <c r="G26" s="61" t="s">
        <v>161</v>
      </c>
      <c r="O26" s="60" t="str">
        <f aca="false">IF(Clients!B15="","",Clients!B15)</f>
        <v/>
      </c>
    </row>
    <row r="27" customFormat="false" ht="15" hidden="false" customHeight="false" outlineLevel="0" collapsed="false">
      <c r="B27" s="51" t="s">
        <v>162</v>
      </c>
      <c r="C27" s="51" t="s">
        <v>111</v>
      </c>
      <c r="D27" s="53" t="n">
        <v>50</v>
      </c>
      <c r="E27" s="19" t="s">
        <v>163</v>
      </c>
      <c r="G27" s="61"/>
      <c r="O27" s="60" t="str">
        <f aca="false">IF(Clients!B16="","",Clients!B16)</f>
        <v/>
      </c>
    </row>
    <row r="28" customFormat="false" ht="15" hidden="false" customHeight="false" outlineLevel="0" collapsed="false">
      <c r="B28" s="51" t="s">
        <v>164</v>
      </c>
      <c r="C28" s="51" t="s">
        <v>111</v>
      </c>
      <c r="D28" s="53" t="n">
        <v>25</v>
      </c>
      <c r="E28" s="19" t="s">
        <v>165</v>
      </c>
      <c r="G28" s="61"/>
      <c r="O28" s="60" t="str">
        <f aca="false">IF(Clients!B17="","",Clients!B17)</f>
        <v/>
      </c>
    </row>
    <row r="29" customFormat="false" ht="15" hidden="false" customHeight="false" outlineLevel="0" collapsed="false">
      <c r="B29" s="51" t="s">
        <v>166</v>
      </c>
      <c r="C29" s="51" t="s">
        <v>120</v>
      </c>
      <c r="D29" s="53" t="n">
        <v>450</v>
      </c>
      <c r="E29" s="19" t="s">
        <v>167</v>
      </c>
      <c r="G29" s="61"/>
      <c r="O29" s="60" t="str">
        <f aca="false">IF(Clients!B18="","",Clients!B18)</f>
        <v/>
      </c>
    </row>
    <row r="30" customFormat="false" ht="15" hidden="false" customHeight="false" outlineLevel="0" collapsed="false">
      <c r="B30" s="51" t="s">
        <v>168</v>
      </c>
      <c r="C30" s="51" t="s">
        <v>120</v>
      </c>
      <c r="D30" s="53" t="n">
        <v>45</v>
      </c>
      <c r="E30" s="19" t="s">
        <v>169</v>
      </c>
      <c r="O30" s="60" t="str">
        <f aca="false">IF(Clients!B19="","",Clients!B19)</f>
        <v/>
      </c>
    </row>
    <row r="31" customFormat="false" ht="15" hidden="false" customHeight="false" outlineLevel="0" collapsed="false">
      <c r="B31" s="51" t="s">
        <v>170</v>
      </c>
      <c r="C31" s="51" t="s">
        <v>120</v>
      </c>
      <c r="D31" s="53" t="n">
        <v>50</v>
      </c>
      <c r="E31" s="19" t="s">
        <v>171</v>
      </c>
      <c r="O31" s="60" t="str">
        <f aca="false">IF(Clients!B20="","",Clients!B20)</f>
        <v/>
      </c>
    </row>
    <row r="32" customFormat="false" ht="15" hidden="false" customHeight="false" outlineLevel="0" collapsed="false">
      <c r="B32" s="51" t="s">
        <v>172</v>
      </c>
      <c r="C32" s="51" t="s">
        <v>120</v>
      </c>
      <c r="D32" s="53" t="n">
        <v>120</v>
      </c>
      <c r="E32" s="19" t="s">
        <v>173</v>
      </c>
      <c r="O32" s="60" t="str">
        <f aca="false">IF(Clients!B21="","",Clients!B21)</f>
        <v/>
      </c>
    </row>
    <row r="33" customFormat="false" ht="15" hidden="false" customHeight="false" outlineLevel="0" collapsed="false">
      <c r="B33" s="51" t="s">
        <v>174</v>
      </c>
      <c r="C33" s="51" t="s">
        <v>120</v>
      </c>
      <c r="D33" s="53" t="n">
        <v>30</v>
      </c>
      <c r="E33" s="19" t="s">
        <v>175</v>
      </c>
      <c r="O33" s="60" t="str">
        <f aca="false">IF(Clients!B22="","",Clients!B22)</f>
        <v/>
      </c>
    </row>
    <row r="34" customFormat="false" ht="15" hidden="false" customHeight="false" outlineLevel="0" collapsed="false">
      <c r="B34" s="51" t="s">
        <v>176</v>
      </c>
      <c r="C34" s="51" t="s">
        <v>128</v>
      </c>
      <c r="D34" s="53" t="n">
        <v>125</v>
      </c>
      <c r="E34" s="19" t="s">
        <v>177</v>
      </c>
      <c r="O34" s="60" t="str">
        <f aca="false">IF(Clients!B23="","",Clients!B23)</f>
        <v/>
      </c>
    </row>
    <row r="35" customFormat="false" ht="15" hidden="false" customHeight="false" outlineLevel="0" collapsed="false">
      <c r="B35" s="51" t="s">
        <v>178</v>
      </c>
      <c r="C35" s="51" t="s">
        <v>128</v>
      </c>
      <c r="D35" s="53" t="n">
        <v>300</v>
      </c>
      <c r="E35" s="19" t="s">
        <v>177</v>
      </c>
      <c r="O35" s="60" t="str">
        <f aca="false">IF(Clients!B24="","",Clients!B24)</f>
        <v/>
      </c>
    </row>
    <row r="36" customFormat="false" ht="15" hidden="false" customHeight="false" outlineLevel="0" collapsed="false">
      <c r="B36" s="51" t="s">
        <v>179</v>
      </c>
      <c r="C36" s="51" t="s">
        <v>128</v>
      </c>
      <c r="D36" s="53" t="n">
        <v>100</v>
      </c>
      <c r="E36" s="19"/>
      <c r="O36" s="60" t="str">
        <f aca="false">IF(Clients!B25="","",Clients!B25)</f>
        <v/>
      </c>
    </row>
    <row r="37" customFormat="false" ht="15" hidden="false" customHeight="false" outlineLevel="0" collapsed="false">
      <c r="B37" s="51" t="s">
        <v>180</v>
      </c>
      <c r="C37" s="51" t="s">
        <v>128</v>
      </c>
      <c r="D37" s="53" t="n">
        <v>350</v>
      </c>
      <c r="E37" s="19" t="s">
        <v>181</v>
      </c>
    </row>
    <row r="38" customFormat="false" ht="15" hidden="false" customHeight="false" outlineLevel="0" collapsed="false">
      <c r="B38" s="51"/>
      <c r="C38" s="51"/>
      <c r="D38" s="53"/>
      <c r="E38" s="19"/>
    </row>
    <row r="39" customFormat="false" ht="15" hidden="false" customHeight="false" outlineLevel="0" collapsed="false">
      <c r="B39" s="51"/>
      <c r="C39" s="51"/>
      <c r="D39" s="53"/>
      <c r="E39" s="19"/>
    </row>
    <row r="40" customFormat="false" ht="15" hidden="false" customHeight="false" outlineLevel="0" collapsed="false">
      <c r="B40" s="51"/>
      <c r="C40" s="51"/>
      <c r="D40" s="53"/>
      <c r="E40" s="19"/>
    </row>
    <row r="41" customFormat="false" ht="15" hidden="false" customHeight="false" outlineLevel="0" collapsed="false">
      <c r="B41" s="51"/>
      <c r="C41" s="51"/>
      <c r="D41" s="53"/>
      <c r="E41" s="19"/>
    </row>
    <row r="42" customFormat="false" ht="15" hidden="false" customHeight="false" outlineLevel="0" collapsed="false">
      <c r="B42" s="51"/>
      <c r="C42" s="51"/>
      <c r="D42" s="53"/>
      <c r="E42" s="19"/>
    </row>
    <row r="43" customFormat="false" ht="15" hidden="false" customHeight="false" outlineLevel="0" collapsed="false">
      <c r="B43" s="51"/>
      <c r="C43" s="51"/>
      <c r="D43" s="53"/>
      <c r="E43" s="19"/>
    </row>
    <row r="44" customFormat="false" ht="15" hidden="false" customHeight="false" outlineLevel="0" collapsed="false">
      <c r="B44" s="51"/>
      <c r="C44" s="51"/>
      <c r="D44" s="53"/>
      <c r="E44" s="19"/>
    </row>
    <row r="45" customFormat="false" ht="15" hidden="false" customHeight="false" outlineLevel="0" collapsed="false">
      <c r="B45" s="51"/>
      <c r="C45" s="51"/>
      <c r="D45" s="53"/>
      <c r="E45" s="19"/>
    </row>
    <row r="46" customFormat="false" ht="15" hidden="false" customHeight="false" outlineLevel="0" collapsed="false">
      <c r="B46" s="50" t="s">
        <v>182</v>
      </c>
      <c r="D46" s="55" t="n">
        <f aca="false">SUM(D16:D45)</f>
        <v>8970</v>
      </c>
    </row>
  </sheetData>
  <mergeCells count="1">
    <mergeCell ref="G26:G29"/>
  </mergeCells>
  <dataValidations count="2">
    <dataValidation allowBlank="true" errorStyle="stop" operator="between" showDropDown="false" showErrorMessage="false" showInputMessage="false" sqref="C11" type="list">
      <formula1>"Paid,Invoiced"</formula1>
      <formula2>0</formula2>
    </dataValidation>
    <dataValidation allowBlank="true" errorStyle="stop" operator="between" showDropDown="false" showErrorMessage="false" showInputMessage="false" sqref="C16:C45" type="list">
      <formula1>$G$16:$G$19</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T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16"/>
    <col collapsed="false" customWidth="true" hidden="false" outlineLevel="0" max="4" min="4" style="0" width="26"/>
    <col collapsed="false" customWidth="true" hidden="false" outlineLevel="0" max="5" min="5" style="0" width="11"/>
    <col collapsed="false" customWidth="true" hidden="false" outlineLevel="0" max="6" min="6" style="0" width="10"/>
    <col collapsed="false" customWidth="true" hidden="false" outlineLevel="0" max="7" min="7" style="0" width="14"/>
    <col collapsed="false" customWidth="true" hidden="false" outlineLevel="0" max="8" min="8" style="0" width="10"/>
    <col collapsed="false" customWidth="true" hidden="false" outlineLevel="0" max="9" min="9" style="0" width="16"/>
    <col collapsed="false" customWidth="true" hidden="false" outlineLevel="0" max="10" min="10" style="0" width="12"/>
    <col collapsed="false" customWidth="true" hidden="false" outlineLevel="0" max="11" min="11" style="0" width="9"/>
    <col collapsed="false" customWidth="true" hidden="false" outlineLevel="0" max="12" min="12" style="0" width="10"/>
    <col collapsed="false" customWidth="true" hidden="false" outlineLevel="0" max="14" min="13" style="0" width="12"/>
    <col collapsed="false" customWidth="true" hidden="false" outlineLevel="0" max="16" min="15" style="0" width="11"/>
    <col collapsed="false" customWidth="true" hidden="false" outlineLevel="0" max="17" min="17" style="0" width="10"/>
    <col collapsed="false" customWidth="true" hidden="false" outlineLevel="0" max="18" min="18" style="0" width="9"/>
    <col collapsed="false" customWidth="true" hidden="false" outlineLevel="0" max="19" min="19" style="0" width="30"/>
    <col collapsed="false" customWidth="true" hidden="false" outlineLevel="0" max="20" min="20" style="0" width="6"/>
  </cols>
  <sheetData>
    <row r="1" customFormat="false" ht="22.05" hidden="false" customHeight="false" outlineLevel="0" collapsed="false">
      <c r="A1" s="48" t="s">
        <v>183</v>
      </c>
    </row>
    <row r="2" customFormat="false" ht="15" hidden="false" customHeight="false" outlineLevel="0" collapsed="false">
      <c r="A2" s="49" t="s">
        <v>184</v>
      </c>
    </row>
    <row r="4" customFormat="false" ht="15" hidden="false" customHeight="false" outlineLevel="0" collapsed="false">
      <c r="F4" s="62" t="s">
        <v>185</v>
      </c>
    </row>
    <row r="5" customFormat="false" ht="43.5" hidden="false" customHeight="true" outlineLevel="0" collapsed="false">
      <c r="A5" s="56" t="s">
        <v>186</v>
      </c>
      <c r="B5" s="57" t="s">
        <v>48</v>
      </c>
      <c r="C5" s="57" t="s">
        <v>187</v>
      </c>
      <c r="D5" s="57" t="s">
        <v>188</v>
      </c>
      <c r="E5" s="57" t="s">
        <v>189</v>
      </c>
      <c r="F5" s="57" t="s">
        <v>190</v>
      </c>
      <c r="G5" s="57" t="s">
        <v>191</v>
      </c>
      <c r="H5" s="57" t="s">
        <v>192</v>
      </c>
      <c r="I5" s="57" t="s">
        <v>193</v>
      </c>
      <c r="J5" s="57" t="s">
        <v>194</v>
      </c>
      <c r="K5" s="57" t="s">
        <v>195</v>
      </c>
      <c r="L5" s="63" t="s">
        <v>196</v>
      </c>
      <c r="M5" s="63" t="s">
        <v>197</v>
      </c>
      <c r="N5" s="63" t="s">
        <v>50</v>
      </c>
      <c r="O5" s="63" t="s">
        <v>198</v>
      </c>
      <c r="P5" s="63" t="s">
        <v>199</v>
      </c>
      <c r="Q5" s="63" t="s">
        <v>200</v>
      </c>
      <c r="R5" s="63" t="s">
        <v>201</v>
      </c>
      <c r="S5" s="63" t="s">
        <v>202</v>
      </c>
      <c r="T5" s="64" t="s">
        <v>203</v>
      </c>
    </row>
    <row r="6" customFormat="false" ht="15" hidden="false" customHeight="false" outlineLevel="0" collapsed="false">
      <c r="A6" s="60" t="n">
        <f aca="false">IF(B6="","",ROW()-5)</f>
        <v>1</v>
      </c>
      <c r="B6" s="51" t="s">
        <v>204</v>
      </c>
      <c r="C6" s="51" t="s">
        <v>205</v>
      </c>
      <c r="D6" s="51" t="s">
        <v>206</v>
      </c>
      <c r="E6" s="51" t="s">
        <v>121</v>
      </c>
      <c r="F6" s="53" t="n">
        <v>135</v>
      </c>
      <c r="G6" s="53" t="n">
        <v>3500</v>
      </c>
      <c r="H6" s="52" t="n">
        <v>15</v>
      </c>
      <c r="I6" s="51" t="s">
        <v>114</v>
      </c>
      <c r="J6" s="65" t="n">
        <v>45964</v>
      </c>
      <c r="K6" s="51" t="s">
        <v>116</v>
      </c>
      <c r="L6" s="36" t="n">
        <f aca="false">IF(B6="","",SUMIFS('Time Log'!$D$6:$D$705,'Time Log'!$B$6:$B$705,B6))</f>
        <v>250.25</v>
      </c>
      <c r="M6" s="35" t="n">
        <f aca="false">IF(B6="","",SUMIFS(Invoices!$E$6:$E$505,Invoices!$C$6:$C$505,B6,Invoices!$B$6:$B$505,"&gt;="&amp;DATE(Settings!$C$5,1,1),Invoices!$B$6:$B$505,"&lt;="&amp;DATE(Settings!$C$5,12,31)))</f>
        <v>35000</v>
      </c>
      <c r="N6" s="35" t="n">
        <f aca="false">IF(B6="","",SUMIFS(Invoices!$I$6:$I$505,Invoices!$C$6:$C$505,B6,Invoices!$H$6:$H$505,"&gt;="&amp;DATE(Settings!$C$5,1,1),Invoices!$H$6:$H$505,"&lt;="&amp;DATE(Settings!$C$5,12,31)))</f>
        <v>35000</v>
      </c>
      <c r="O6" s="35" t="n">
        <f aca="false">IF(B6="","",SUMIFS(Invoices!$K$6:$K$505,Invoices!$C$6:$C$505,B6))</f>
        <v>0</v>
      </c>
      <c r="P6" s="35" t="n">
        <f aca="false">IF(OR(B6="",N(L6)=0),"",M6/L6)</f>
        <v>139.86013986014</v>
      </c>
      <c r="Q6" s="37" t="n">
        <f aca="false">IF(OR(B6="",SUM($M$6:$M$25)=0),"",M6/SUM($M$6:$M$25))</f>
        <v>0.277854959711031</v>
      </c>
      <c r="R6" s="66" t="n">
        <f aca="false">IF(B6="","",IFERROR(ROUND(AVERAGEIFS(Invoices!$O$6:$O$505,Invoices!$C$6:$C$505,B6),0),""))</f>
        <v>6</v>
      </c>
      <c r="S6" s="38" t="str">
        <f aca="false">IF(OR(B6="",K6="Past"),"",IF(AND(ISNUMBER(Q6),Q6&gt;0.25),"Too big to lose. Diversify.",IF(AND(ISNUMBER(P6),P6&lt;'Rate Calculator'!$C$17),"Below your target rate",IF(AND(ISNUMBER(R6),R6&gt;N(H6)+5),"Slow payer. Tighten terms.","Healthy"))))</f>
        <v>Too big to lose. Diversify.</v>
      </c>
      <c r="T6" s="39" t="n">
        <f aca="false">IF(OR(B6="",N(M6)=0),"",M6+ROW()/1000000)</f>
        <v>35000.000006</v>
      </c>
    </row>
    <row r="7" customFormat="false" ht="15" hidden="false" customHeight="false" outlineLevel="0" collapsed="false">
      <c r="A7" s="60" t="n">
        <f aca="false">IF(B7="","",ROW()-5)</f>
        <v>2</v>
      </c>
      <c r="B7" s="51" t="s">
        <v>207</v>
      </c>
      <c r="C7" s="51" t="s">
        <v>208</v>
      </c>
      <c r="D7" s="51" t="s">
        <v>209</v>
      </c>
      <c r="E7" s="51" t="s">
        <v>112</v>
      </c>
      <c r="F7" s="53" t="n">
        <v>125</v>
      </c>
      <c r="G7" s="53"/>
      <c r="H7" s="52" t="n">
        <v>30</v>
      </c>
      <c r="I7" s="51" t="s">
        <v>145</v>
      </c>
      <c r="J7" s="65" t="n">
        <v>45915</v>
      </c>
      <c r="K7" s="51" t="s">
        <v>116</v>
      </c>
      <c r="L7" s="36" t="n">
        <f aca="false">IF(B7="","",SUMIFS('Time Log'!$D$6:$D$705,'Time Log'!$B$6:$B$705,B7))</f>
        <v>207.75</v>
      </c>
      <c r="M7" s="35" t="n">
        <f aca="false">IF(B7="","",SUMIFS(Invoices!$E$6:$E$505,Invoices!$C$6:$C$505,B7,Invoices!$B$6:$B$505,"&gt;="&amp;DATE(Settings!$C$5,1,1),Invoices!$B$6:$B$505,"&lt;="&amp;DATE(Settings!$C$5,12,31)))</f>
        <v>25000</v>
      </c>
      <c r="N7" s="35" t="n">
        <f aca="false">IF(B7="","",SUMIFS(Invoices!$I$6:$I$505,Invoices!$C$6:$C$505,B7,Invoices!$H$6:$H$505,"&gt;="&amp;DATE(Settings!$C$5,1,1),Invoices!$H$6:$H$505,"&lt;="&amp;DATE(Settings!$C$5,12,31)))</f>
        <v>22625</v>
      </c>
      <c r="O7" s="35" t="n">
        <f aca="false">IF(B7="","",SUMIFS(Invoices!$K$6:$K$505,Invoices!$C$6:$C$505,B7))</f>
        <v>2375</v>
      </c>
      <c r="P7" s="35" t="n">
        <f aca="false">IF(OR(B7="",N(L7)=0),"",M7/L7)</f>
        <v>120.336943441637</v>
      </c>
      <c r="Q7" s="37" t="n">
        <f aca="false">IF(OR(B7="",SUM($M$6:$M$25)=0),"",M7/SUM($M$6:$M$25))</f>
        <v>0.198467828365022</v>
      </c>
      <c r="R7" s="66" t="n">
        <f aca="false">IF(B7="","",IFERROR(ROUND(AVERAGEIFS(Invoices!$O$6:$O$505,Invoices!$C$6:$C$505,B7),0),""))</f>
        <v>25</v>
      </c>
      <c r="S7" s="38" t="str">
        <f aca="false">IF(OR(B7="",K7="Past"),"",IF(AND(ISNUMBER(Q7),Q7&gt;0.25),"Too big to lose. Diversify.",IF(AND(ISNUMBER(P7),P7&lt;'Rate Calculator'!$C$17),"Below your target rate",IF(AND(ISNUMBER(R7),R7&gt;N(H7)+5),"Slow payer. Tighten terms.","Healthy"))))</f>
        <v>Below your target rate</v>
      </c>
      <c r="T7" s="39" t="n">
        <f aca="false">IF(OR(B7="",N(M7)=0),"",M7+ROW()/1000000)</f>
        <v>25000.000007</v>
      </c>
    </row>
    <row r="8" customFormat="false" ht="15" hidden="false" customHeight="false" outlineLevel="0" collapsed="false">
      <c r="A8" s="60" t="n">
        <f aca="false">IF(B8="","",ROW()-5)</f>
        <v>3</v>
      </c>
      <c r="B8" s="51" t="s">
        <v>210</v>
      </c>
      <c r="C8" s="51" t="s">
        <v>211</v>
      </c>
      <c r="D8" s="51" t="s">
        <v>212</v>
      </c>
      <c r="E8" s="51" t="s">
        <v>112</v>
      </c>
      <c r="F8" s="53" t="n">
        <v>135</v>
      </c>
      <c r="G8" s="53"/>
      <c r="H8" s="52" t="n">
        <v>30</v>
      </c>
      <c r="I8" s="51" t="s">
        <v>136</v>
      </c>
      <c r="J8" s="65" t="n">
        <v>46055</v>
      </c>
      <c r="K8" s="51" t="s">
        <v>116</v>
      </c>
      <c r="L8" s="36" t="n">
        <f aca="false">IF(B8="","",SUMIFS('Time Log'!$D$6:$D$705,'Time Log'!$B$6:$B$705,B8))</f>
        <v>132.75</v>
      </c>
      <c r="M8" s="35" t="n">
        <f aca="false">IF(B8="","",SUMIFS(Invoices!$E$6:$E$505,Invoices!$C$6:$C$505,B8,Invoices!$B$6:$B$505,"&gt;="&amp;DATE(Settings!$C$5,1,1),Invoices!$B$6:$B$505,"&lt;="&amp;DATE(Settings!$C$5,12,31)))</f>
        <v>16740</v>
      </c>
      <c r="N8" s="35" t="n">
        <f aca="false">IF(B8="","",SUMIFS(Invoices!$I$6:$I$505,Invoices!$C$6:$C$505,B8,Invoices!$H$6:$H$505,"&gt;="&amp;DATE(Settings!$C$5,1,1),Invoices!$H$6:$H$505,"&lt;="&amp;DATE(Settings!$C$5,12,31)))</f>
        <v>15120</v>
      </c>
      <c r="O8" s="35" t="n">
        <f aca="false">IF(B8="","",SUMIFS(Invoices!$K$6:$K$505,Invoices!$C$6:$C$505,B8))</f>
        <v>1620</v>
      </c>
      <c r="P8" s="35" t="n">
        <f aca="false">IF(OR(B8="",N(L8)=0),"",M8/L8)</f>
        <v>126.101694915254</v>
      </c>
      <c r="Q8" s="37" t="n">
        <f aca="false">IF(OR(B8="",SUM($M$6:$M$25)=0),"",M8/SUM($M$6:$M$25))</f>
        <v>0.132894057873219</v>
      </c>
      <c r="R8" s="66" t="n">
        <f aca="false">IF(B8="","",IFERROR(ROUND(AVERAGEIFS(Invoices!$O$6:$O$505,Invoices!$C$6:$C$505,B8),0),""))</f>
        <v>35</v>
      </c>
      <c r="S8" s="38" t="str">
        <f aca="false">IF(OR(B8="",K8="Past"),"",IF(AND(ISNUMBER(Q8),Q8&gt;0.25),"Too big to lose. Diversify.",IF(AND(ISNUMBER(P8),P8&lt;'Rate Calculator'!$C$17),"Below your target rate",IF(AND(ISNUMBER(R8),R8&gt;N(H8)+5),"Slow payer. Tighten terms.","Healthy"))))</f>
        <v>Below your target rate</v>
      </c>
      <c r="T8" s="39" t="n">
        <f aca="false">IF(OR(B8="",N(M8)=0),"",M8+ROW()/1000000)</f>
        <v>16740.000008</v>
      </c>
    </row>
    <row r="9" customFormat="false" ht="15" hidden="false" customHeight="false" outlineLevel="0" collapsed="false">
      <c r="A9" s="60" t="n">
        <f aca="false">IF(B9="","",ROW()-5)</f>
        <v>4</v>
      </c>
      <c r="B9" s="51" t="s">
        <v>213</v>
      </c>
      <c r="C9" s="51" t="s">
        <v>214</v>
      </c>
      <c r="D9" s="51" t="s">
        <v>215</v>
      </c>
      <c r="E9" s="51" t="s">
        <v>121</v>
      </c>
      <c r="F9" s="53" t="n">
        <v>135</v>
      </c>
      <c r="G9" s="53" t="n">
        <v>2200</v>
      </c>
      <c r="H9" s="52" t="n">
        <v>15</v>
      </c>
      <c r="I9" s="51" t="s">
        <v>123</v>
      </c>
      <c r="J9" s="65" t="n">
        <v>45809</v>
      </c>
      <c r="K9" s="51" t="s">
        <v>116</v>
      </c>
      <c r="L9" s="36" t="n">
        <f aca="false">IF(B9="","",SUMIFS('Time Log'!$D$6:$D$705,'Time Log'!$B$6:$B$705,B9))</f>
        <v>155.25</v>
      </c>
      <c r="M9" s="35" t="n">
        <f aca="false">IF(B9="","",SUMIFS(Invoices!$E$6:$E$505,Invoices!$C$6:$C$505,B9,Invoices!$B$6:$B$505,"&gt;="&amp;DATE(Settings!$C$5,1,1),Invoices!$B$6:$B$505,"&lt;="&amp;DATE(Settings!$C$5,12,31)))</f>
        <v>22000</v>
      </c>
      <c r="N9" s="35" t="n">
        <f aca="false">IF(B9="","",SUMIFS(Invoices!$I$6:$I$505,Invoices!$C$6:$C$505,B9,Invoices!$H$6:$H$505,"&gt;="&amp;DATE(Settings!$C$5,1,1),Invoices!$H$6:$H$505,"&lt;="&amp;DATE(Settings!$C$5,12,31)))</f>
        <v>19800</v>
      </c>
      <c r="O9" s="35" t="n">
        <f aca="false">IF(B9="","",SUMIFS(Invoices!$K$6:$K$505,Invoices!$C$6:$C$505,B9))</f>
        <v>2200</v>
      </c>
      <c r="P9" s="35" t="n">
        <f aca="false">IF(OR(B9="",N(L9)=0),"",M9/L9)</f>
        <v>141.70692431562</v>
      </c>
      <c r="Q9" s="37" t="n">
        <f aca="false">IF(OR(B9="",SUM($M$6:$M$25)=0),"",M9/SUM($M$6:$M$25))</f>
        <v>0.174651688961219</v>
      </c>
      <c r="R9" s="66" t="n">
        <f aca="false">IF(B9="","",IFERROR(ROUND(AVERAGEIFS(Invoices!$O$6:$O$505,Invoices!$C$6:$C$505,B9),0),""))</f>
        <v>10</v>
      </c>
      <c r="S9" s="38" t="str">
        <f aca="false">IF(OR(B9="",K9="Past"),"",IF(AND(ISNUMBER(Q9),Q9&gt;0.25),"Too big to lose. Diversify.",IF(AND(ISNUMBER(P9),P9&lt;'Rate Calculator'!$C$17),"Below your target rate",IF(AND(ISNUMBER(R9),R9&gt;N(H9)+5),"Slow payer. Tighten terms.","Healthy"))))</f>
        <v>Healthy</v>
      </c>
      <c r="T9" s="39" t="n">
        <f aca="false">IF(OR(B9="",N(M9)=0),"",M9+ROW()/1000000)</f>
        <v>22000.000009</v>
      </c>
    </row>
    <row r="10" customFormat="false" ht="15" hidden="false" customHeight="false" outlineLevel="0" collapsed="false">
      <c r="A10" s="60" t="n">
        <f aca="false">IF(B10="","",ROW()-5)</f>
        <v>5</v>
      </c>
      <c r="B10" s="51" t="s">
        <v>216</v>
      </c>
      <c r="C10" s="51" t="s">
        <v>217</v>
      </c>
      <c r="D10" s="51" t="s">
        <v>218</v>
      </c>
      <c r="E10" s="51" t="s">
        <v>112</v>
      </c>
      <c r="F10" s="53" t="n">
        <v>100</v>
      </c>
      <c r="G10" s="53"/>
      <c r="H10" s="52" t="n">
        <v>15</v>
      </c>
      <c r="I10" s="51" t="s">
        <v>149</v>
      </c>
      <c r="J10" s="65" t="n">
        <v>45392</v>
      </c>
      <c r="K10" s="51" t="s">
        <v>116</v>
      </c>
      <c r="L10" s="36" t="n">
        <f aca="false">IF(B10="","",SUMIFS('Time Log'!$D$6:$D$705,'Time Log'!$B$6:$B$705,B10))</f>
        <v>82</v>
      </c>
      <c r="M10" s="35" t="n">
        <f aca="false">IF(B10="","",SUMIFS(Invoices!$E$6:$E$505,Invoices!$C$6:$C$505,B10,Invoices!$B$6:$B$505,"&gt;="&amp;DATE(Settings!$C$5,1,1),Invoices!$B$6:$B$505,"&lt;="&amp;DATE(Settings!$C$5,12,31)))</f>
        <v>7825</v>
      </c>
      <c r="N10" s="35" t="n">
        <f aca="false">IF(B10="","",SUMIFS(Invoices!$I$6:$I$505,Invoices!$C$6:$C$505,B10,Invoices!$H$6:$H$505,"&gt;="&amp;DATE(Settings!$C$5,1,1),Invoices!$H$6:$H$505,"&lt;="&amp;DATE(Settings!$C$5,12,31)))</f>
        <v>5925</v>
      </c>
      <c r="O10" s="35" t="n">
        <f aca="false">IF(B10="","",SUMIFS(Invoices!$K$6:$K$505,Invoices!$C$6:$C$505,B10))</f>
        <v>1900</v>
      </c>
      <c r="P10" s="35" t="n">
        <f aca="false">IF(OR(B10="",N(L10)=0),"",M10/L10)</f>
        <v>95.4268292682927</v>
      </c>
      <c r="Q10" s="37" t="n">
        <f aca="false">IF(OR(B10="",SUM($M$6:$M$25)=0),"",M10/SUM($M$6:$M$25))</f>
        <v>0.0621204302782519</v>
      </c>
      <c r="R10" s="66" t="n">
        <f aca="false">IF(B10="","",IFERROR(ROUND(AVERAGEIFS(Invoices!$O$6:$O$505,Invoices!$C$6:$C$505,B10),0),""))</f>
        <v>32</v>
      </c>
      <c r="S10" s="38" t="str">
        <f aca="false">IF(OR(B10="",K10="Past"),"",IF(AND(ISNUMBER(Q10),Q10&gt;0.25),"Too big to lose. Diversify.",IF(AND(ISNUMBER(P10),P10&lt;'Rate Calculator'!$C$17),"Below your target rate",IF(AND(ISNUMBER(R10),R10&gt;N(H10)+5),"Slow payer. Tighten terms.","Healthy"))))</f>
        <v>Below your target rate</v>
      </c>
      <c r="T10" s="39" t="n">
        <f aca="false">IF(OR(B10="",N(M10)=0),"",M10+ROW()/1000000)</f>
        <v>7825.00001</v>
      </c>
    </row>
    <row r="11" customFormat="false" ht="15" hidden="false" customHeight="false" outlineLevel="0" collapsed="false">
      <c r="A11" s="60" t="n">
        <f aca="false">IF(B11="","",ROW()-5)</f>
        <v>6</v>
      </c>
      <c r="B11" s="51" t="s">
        <v>219</v>
      </c>
      <c r="C11" s="51" t="s">
        <v>220</v>
      </c>
      <c r="D11" s="51" t="s">
        <v>221</v>
      </c>
      <c r="E11" s="51" t="s">
        <v>129</v>
      </c>
      <c r="F11" s="53" t="n">
        <v>100</v>
      </c>
      <c r="G11" s="53" t="n">
        <v>9000</v>
      </c>
      <c r="H11" s="52" t="n">
        <v>15</v>
      </c>
      <c r="I11" s="51" t="s">
        <v>114</v>
      </c>
      <c r="J11" s="65" t="n">
        <v>46073</v>
      </c>
      <c r="K11" s="51" t="s">
        <v>133</v>
      </c>
      <c r="L11" s="36" t="n">
        <f aca="false">IF(B11="","",SUMIFS('Time Log'!$D$6:$D$705,'Time Log'!$B$6:$B$705,B11))</f>
        <v>87.25</v>
      </c>
      <c r="M11" s="35" t="n">
        <f aca="false">IF(B11="","",SUMIFS(Invoices!$E$6:$E$505,Invoices!$C$6:$C$505,B11,Invoices!$B$6:$B$505,"&gt;="&amp;DATE(Settings!$C$5,1,1),Invoices!$B$6:$B$505,"&lt;="&amp;DATE(Settings!$C$5,12,31)))</f>
        <v>9000</v>
      </c>
      <c r="N11" s="35" t="n">
        <f aca="false">IF(B11="","",SUMIFS(Invoices!$I$6:$I$505,Invoices!$C$6:$C$505,B11,Invoices!$H$6:$H$505,"&gt;="&amp;DATE(Settings!$C$5,1,1),Invoices!$H$6:$H$505,"&lt;="&amp;DATE(Settings!$C$5,12,31)))</f>
        <v>9000</v>
      </c>
      <c r="O11" s="35" t="n">
        <f aca="false">IF(B11="","",SUMIFS(Invoices!$K$6:$K$505,Invoices!$C$6:$C$505,B11))</f>
        <v>0</v>
      </c>
      <c r="P11" s="35" t="n">
        <f aca="false">IF(OR(B11="",N(L11)=0),"",M11/L11)</f>
        <v>103.151862464183</v>
      </c>
      <c r="Q11" s="37" t="n">
        <f aca="false">IF(OR(B11="",SUM($M$6:$M$25)=0),"",M11/SUM($M$6:$M$25))</f>
        <v>0.0714484182114079</v>
      </c>
      <c r="R11" s="66" t="n">
        <f aca="false">IF(B11="","",IFERROR(ROUND(AVERAGEIFS(Invoices!$O$6:$O$505,Invoices!$C$6:$C$505,B11),0),""))</f>
        <v>13</v>
      </c>
      <c r="S11" s="38" t="str">
        <f aca="false">IF(OR(B11="",K11="Past"),"",IF(AND(ISNUMBER(Q11),Q11&gt;0.25),"Too big to lose. Diversify.",IF(AND(ISNUMBER(P11),P11&lt;'Rate Calculator'!$C$17),"Below your target rate",IF(AND(ISNUMBER(R11),R11&gt;N(H11)+5),"Slow payer. Tighten terms.","Healthy"))))</f>
        <v/>
      </c>
      <c r="T11" s="39" t="n">
        <f aca="false">IF(OR(B11="",N(M11)=0),"",M11+ROW()/1000000)</f>
        <v>9000.000011</v>
      </c>
    </row>
    <row r="12" customFormat="false" ht="15" hidden="false" customHeight="false" outlineLevel="0" collapsed="false">
      <c r="A12" s="60" t="n">
        <f aca="false">IF(B12="","",ROW()-5)</f>
        <v>7</v>
      </c>
      <c r="B12" s="51" t="s">
        <v>222</v>
      </c>
      <c r="C12" s="51" t="s">
        <v>223</v>
      </c>
      <c r="D12" s="51" t="s">
        <v>224</v>
      </c>
      <c r="E12" s="51" t="s">
        <v>112</v>
      </c>
      <c r="F12" s="53" t="n">
        <v>160</v>
      </c>
      <c r="G12" s="53"/>
      <c r="H12" s="52" t="n">
        <v>30</v>
      </c>
      <c r="I12" s="51" t="s">
        <v>131</v>
      </c>
      <c r="J12" s="65" t="n">
        <v>46174</v>
      </c>
      <c r="K12" s="51" t="s">
        <v>116</v>
      </c>
      <c r="L12" s="36" t="n">
        <f aca="false">IF(B12="","",SUMIFS('Time Log'!$D$6:$D$705,'Time Log'!$B$6:$B$705,B12))</f>
        <v>55.25</v>
      </c>
      <c r="M12" s="35" t="n">
        <f aca="false">IF(B12="","",SUMIFS(Invoices!$E$6:$E$505,Invoices!$C$6:$C$505,B12,Invoices!$B$6:$B$505,"&gt;="&amp;DATE(Settings!$C$5,1,1),Invoices!$B$6:$B$505,"&lt;="&amp;DATE(Settings!$C$5,12,31)))</f>
        <v>8000</v>
      </c>
      <c r="N12" s="35" t="n">
        <f aca="false">IF(B12="","",SUMIFS(Invoices!$I$6:$I$505,Invoices!$C$6:$C$505,B12,Invoices!$H$6:$H$505,"&gt;="&amp;DATE(Settings!$C$5,1,1),Invoices!$H$6:$H$505,"&lt;="&amp;DATE(Settings!$C$5,12,31)))</f>
        <v>6080</v>
      </c>
      <c r="O12" s="35" t="n">
        <f aca="false">IF(B12="","",SUMIFS(Invoices!$K$6:$K$505,Invoices!$C$6:$C$505,B12))</f>
        <v>1920</v>
      </c>
      <c r="P12" s="35" t="n">
        <f aca="false">IF(OR(B12="",N(L12)=0),"",M12/L12)</f>
        <v>144.796380090498</v>
      </c>
      <c r="Q12" s="37" t="n">
        <f aca="false">IF(OR(B12="",SUM($M$6:$M$25)=0),"",M12/SUM($M$6:$M$25))</f>
        <v>0.0635097050768071</v>
      </c>
      <c r="R12" s="66" t="n">
        <f aca="false">IF(B12="","",IFERROR(ROUND(AVERAGEIFS(Invoices!$O$6:$O$505,Invoices!$C$6:$C$505,B12),0),""))</f>
        <v>26</v>
      </c>
      <c r="S12" s="38" t="str">
        <f aca="false">IF(OR(B12="",K12="Past"),"",IF(AND(ISNUMBER(Q12),Q12&gt;0.25),"Too big to lose. Diversify.",IF(AND(ISNUMBER(P12),P12&lt;'Rate Calculator'!$C$17),"Below your target rate",IF(AND(ISNUMBER(R12),R12&gt;N(H12)+5),"Slow payer. Tighten terms.","Healthy"))))</f>
        <v>Healthy</v>
      </c>
      <c r="T12" s="39" t="n">
        <f aca="false">IF(OR(B12="",N(M12)=0),"",M12+ROW()/1000000)</f>
        <v>8000.000012</v>
      </c>
    </row>
    <row r="13" customFormat="false" ht="15" hidden="false" customHeight="false" outlineLevel="0" collapsed="false">
      <c r="A13" s="60" t="n">
        <f aca="false">IF(B13="","",ROW()-5)</f>
        <v>8</v>
      </c>
      <c r="B13" s="51" t="s">
        <v>225</v>
      </c>
      <c r="C13" s="51" t="s">
        <v>226</v>
      </c>
      <c r="D13" s="51" t="s">
        <v>227</v>
      </c>
      <c r="E13" s="51" t="s">
        <v>129</v>
      </c>
      <c r="F13" s="53" t="n">
        <v>100</v>
      </c>
      <c r="G13" s="53" t="n">
        <v>2400</v>
      </c>
      <c r="H13" s="52" t="n">
        <v>15</v>
      </c>
      <c r="I13" s="51" t="s">
        <v>140</v>
      </c>
      <c r="J13" s="65" t="n">
        <v>46231</v>
      </c>
      <c r="K13" s="51" t="s">
        <v>116</v>
      </c>
      <c r="L13" s="36" t="n">
        <f aca="false">IF(B13="","",SUMIFS('Time Log'!$D$6:$D$705,'Time Log'!$B$6:$B$705,B13))</f>
        <v>39.5</v>
      </c>
      <c r="M13" s="35" t="n">
        <f aca="false">IF(B13="","",SUMIFS(Invoices!$E$6:$E$505,Invoices!$C$6:$C$505,B13,Invoices!$B$6:$B$505,"&gt;="&amp;DATE(Settings!$C$5,1,1),Invoices!$B$6:$B$505,"&lt;="&amp;DATE(Settings!$C$5,12,31)))</f>
        <v>2400</v>
      </c>
      <c r="N13" s="35" t="n">
        <f aca="false">IF(B13="","",SUMIFS(Invoices!$I$6:$I$505,Invoices!$C$6:$C$505,B13,Invoices!$H$6:$H$505,"&gt;="&amp;DATE(Settings!$C$5,1,1),Invoices!$H$6:$H$505,"&lt;="&amp;DATE(Settings!$C$5,12,31)))</f>
        <v>1200</v>
      </c>
      <c r="O13" s="35" t="n">
        <f aca="false">IF(B13="","",SUMIFS(Invoices!$K$6:$K$505,Invoices!$C$6:$C$505,B13))</f>
        <v>1200</v>
      </c>
      <c r="P13" s="35" t="n">
        <f aca="false">IF(OR(B13="",N(L13)=0),"",M13/L13)</f>
        <v>60.7594936708861</v>
      </c>
      <c r="Q13" s="37" t="n">
        <f aca="false">IF(OR(B13="",SUM($M$6:$M$25)=0),"",M13/SUM($M$6:$M$25))</f>
        <v>0.0190529115230421</v>
      </c>
      <c r="R13" s="66" t="n">
        <f aca="false">IF(B13="","",IFERROR(ROUND(AVERAGEIFS(Invoices!$O$6:$O$505,Invoices!$C$6:$C$505,B13),0),""))</f>
        <v>14</v>
      </c>
      <c r="S13" s="38" t="str">
        <f aca="false">IF(OR(B13="",K13="Past"),"",IF(AND(ISNUMBER(Q13),Q13&gt;0.25),"Too big to lose. Diversify.",IF(AND(ISNUMBER(P13),P13&lt;'Rate Calculator'!$C$17),"Below your target rate",IF(AND(ISNUMBER(R13),R13&gt;N(H13)+5),"Slow payer. Tighten terms.","Healthy"))))</f>
        <v>Below your target rate</v>
      </c>
      <c r="T13" s="39" t="n">
        <f aca="false">IF(OR(B13="",N(M13)=0),"",M13+ROW()/1000000)</f>
        <v>2400.000013</v>
      </c>
    </row>
    <row r="14" customFormat="false" ht="15" hidden="false" customHeight="false" outlineLevel="0" collapsed="false">
      <c r="A14" s="60" t="str">
        <f aca="false">IF(B14="","",ROW()-5)</f>
        <v/>
      </c>
      <c r="B14" s="51"/>
      <c r="C14" s="51"/>
      <c r="D14" s="51"/>
      <c r="E14" s="51"/>
      <c r="F14" s="53"/>
      <c r="G14" s="53"/>
      <c r="H14" s="52"/>
      <c r="I14" s="51"/>
      <c r="J14" s="65"/>
      <c r="K14" s="51"/>
      <c r="L14" s="36" t="str">
        <f aca="false">IF(B14="","",SUMIFS('Time Log'!$D$6:$D$705,'Time Log'!$B$6:$B$705,B14))</f>
        <v/>
      </c>
      <c r="M14" s="35" t="str">
        <f aca="false">IF(B14="","",SUMIFS(Invoices!$E$6:$E$505,Invoices!$C$6:$C$505,B14,Invoices!$B$6:$B$505,"&gt;="&amp;DATE(Settings!$C$5,1,1),Invoices!$B$6:$B$505,"&lt;="&amp;DATE(Settings!$C$5,12,31)))</f>
        <v/>
      </c>
      <c r="N14" s="35" t="str">
        <f aca="false">IF(B14="","",SUMIFS(Invoices!$I$6:$I$505,Invoices!$C$6:$C$505,B14,Invoices!$H$6:$H$505,"&gt;="&amp;DATE(Settings!$C$5,1,1),Invoices!$H$6:$H$505,"&lt;="&amp;DATE(Settings!$C$5,12,31)))</f>
        <v/>
      </c>
      <c r="O14" s="35" t="str">
        <f aca="false">IF(B14="","",SUMIFS(Invoices!$K$6:$K$505,Invoices!$C$6:$C$505,B14))</f>
        <v/>
      </c>
      <c r="P14" s="35" t="str">
        <f aca="false">IF(OR(B14="",N(L14)=0),"",M14/L14)</f>
        <v/>
      </c>
      <c r="Q14" s="37" t="str">
        <f aca="false">IF(OR(B14="",SUM($M$6:$M$25)=0),"",M14/SUM($M$6:$M$25))</f>
        <v/>
      </c>
      <c r="R14" s="66" t="str">
        <f aca="false">IF(B14="","",IFERROR(ROUND(AVERAGEIFS(Invoices!$O$6:$O$505,Invoices!$C$6:$C$505,B14),0),""))</f>
        <v/>
      </c>
      <c r="S14" s="38" t="str">
        <f aca="false">IF(OR(B14="",K14="Past"),"",IF(AND(ISNUMBER(Q14),Q14&gt;0.25),"Too big to lose. Diversify.",IF(AND(ISNUMBER(P14),P14&lt;'Rate Calculator'!$C$17),"Below your target rate",IF(AND(ISNUMBER(R14),R14&gt;N(H14)+5),"Slow payer. Tighten terms.","Healthy"))))</f>
        <v/>
      </c>
      <c r="T14" s="39" t="str">
        <f aca="false">IF(OR(B14="",N(M14)=0),"",M14+ROW()/1000000)</f>
        <v/>
      </c>
    </row>
    <row r="15" customFormat="false" ht="15" hidden="false" customHeight="false" outlineLevel="0" collapsed="false">
      <c r="A15" s="60" t="str">
        <f aca="false">IF(B15="","",ROW()-5)</f>
        <v/>
      </c>
      <c r="B15" s="51"/>
      <c r="C15" s="51"/>
      <c r="D15" s="51"/>
      <c r="E15" s="51"/>
      <c r="F15" s="53"/>
      <c r="G15" s="53"/>
      <c r="H15" s="52"/>
      <c r="I15" s="51"/>
      <c r="J15" s="65"/>
      <c r="K15" s="51"/>
      <c r="L15" s="36" t="str">
        <f aca="false">IF(B15="","",SUMIFS('Time Log'!$D$6:$D$705,'Time Log'!$B$6:$B$705,B15))</f>
        <v/>
      </c>
      <c r="M15" s="35" t="str">
        <f aca="false">IF(B15="","",SUMIFS(Invoices!$E$6:$E$505,Invoices!$C$6:$C$505,B15,Invoices!$B$6:$B$505,"&gt;="&amp;DATE(Settings!$C$5,1,1),Invoices!$B$6:$B$505,"&lt;="&amp;DATE(Settings!$C$5,12,31)))</f>
        <v/>
      </c>
      <c r="N15" s="35" t="str">
        <f aca="false">IF(B15="","",SUMIFS(Invoices!$I$6:$I$505,Invoices!$C$6:$C$505,B15,Invoices!$H$6:$H$505,"&gt;="&amp;DATE(Settings!$C$5,1,1),Invoices!$H$6:$H$505,"&lt;="&amp;DATE(Settings!$C$5,12,31)))</f>
        <v/>
      </c>
      <c r="O15" s="35" t="str">
        <f aca="false">IF(B15="","",SUMIFS(Invoices!$K$6:$K$505,Invoices!$C$6:$C$505,B15))</f>
        <v/>
      </c>
      <c r="P15" s="35" t="str">
        <f aca="false">IF(OR(B15="",N(L15)=0),"",M15/L15)</f>
        <v/>
      </c>
      <c r="Q15" s="37" t="str">
        <f aca="false">IF(OR(B15="",SUM($M$6:$M$25)=0),"",M15/SUM($M$6:$M$25))</f>
        <v/>
      </c>
      <c r="R15" s="66" t="str">
        <f aca="false">IF(B15="","",IFERROR(ROUND(AVERAGEIFS(Invoices!$O$6:$O$505,Invoices!$C$6:$C$505,B15),0),""))</f>
        <v/>
      </c>
      <c r="S15" s="38" t="str">
        <f aca="false">IF(OR(B15="",K15="Past"),"",IF(AND(ISNUMBER(Q15),Q15&gt;0.25),"Too big to lose. Diversify.",IF(AND(ISNUMBER(P15),P15&lt;'Rate Calculator'!$C$17),"Below your target rate",IF(AND(ISNUMBER(R15),R15&gt;N(H15)+5),"Slow payer. Tighten terms.","Healthy"))))</f>
        <v/>
      </c>
      <c r="T15" s="39" t="str">
        <f aca="false">IF(OR(B15="",N(M15)=0),"",M15+ROW()/1000000)</f>
        <v/>
      </c>
    </row>
    <row r="16" customFormat="false" ht="15" hidden="false" customHeight="false" outlineLevel="0" collapsed="false">
      <c r="A16" s="60" t="str">
        <f aca="false">IF(B16="","",ROW()-5)</f>
        <v/>
      </c>
      <c r="B16" s="51"/>
      <c r="C16" s="51"/>
      <c r="D16" s="51"/>
      <c r="E16" s="51"/>
      <c r="F16" s="53"/>
      <c r="G16" s="53"/>
      <c r="H16" s="52"/>
      <c r="I16" s="51"/>
      <c r="J16" s="65"/>
      <c r="K16" s="51"/>
      <c r="L16" s="36" t="str">
        <f aca="false">IF(B16="","",SUMIFS('Time Log'!$D$6:$D$705,'Time Log'!$B$6:$B$705,B16))</f>
        <v/>
      </c>
      <c r="M16" s="35" t="str">
        <f aca="false">IF(B16="","",SUMIFS(Invoices!$E$6:$E$505,Invoices!$C$6:$C$505,B16,Invoices!$B$6:$B$505,"&gt;="&amp;DATE(Settings!$C$5,1,1),Invoices!$B$6:$B$505,"&lt;="&amp;DATE(Settings!$C$5,12,31)))</f>
        <v/>
      </c>
      <c r="N16" s="35" t="str">
        <f aca="false">IF(B16="","",SUMIFS(Invoices!$I$6:$I$505,Invoices!$C$6:$C$505,B16,Invoices!$H$6:$H$505,"&gt;="&amp;DATE(Settings!$C$5,1,1),Invoices!$H$6:$H$505,"&lt;="&amp;DATE(Settings!$C$5,12,31)))</f>
        <v/>
      </c>
      <c r="O16" s="35" t="str">
        <f aca="false">IF(B16="","",SUMIFS(Invoices!$K$6:$K$505,Invoices!$C$6:$C$505,B16))</f>
        <v/>
      </c>
      <c r="P16" s="35" t="str">
        <f aca="false">IF(OR(B16="",N(L16)=0),"",M16/L16)</f>
        <v/>
      </c>
      <c r="Q16" s="37" t="str">
        <f aca="false">IF(OR(B16="",SUM($M$6:$M$25)=0),"",M16/SUM($M$6:$M$25))</f>
        <v/>
      </c>
      <c r="R16" s="66" t="str">
        <f aca="false">IF(B16="","",IFERROR(ROUND(AVERAGEIFS(Invoices!$O$6:$O$505,Invoices!$C$6:$C$505,B16),0),""))</f>
        <v/>
      </c>
      <c r="S16" s="38" t="str">
        <f aca="false">IF(OR(B16="",K16="Past"),"",IF(AND(ISNUMBER(Q16),Q16&gt;0.25),"Too big to lose. Diversify.",IF(AND(ISNUMBER(P16),P16&lt;'Rate Calculator'!$C$17),"Below your target rate",IF(AND(ISNUMBER(R16),R16&gt;N(H16)+5),"Slow payer. Tighten terms.","Healthy"))))</f>
        <v/>
      </c>
      <c r="T16" s="39" t="str">
        <f aca="false">IF(OR(B16="",N(M16)=0),"",M16+ROW()/1000000)</f>
        <v/>
      </c>
    </row>
    <row r="17" customFormat="false" ht="15" hidden="false" customHeight="false" outlineLevel="0" collapsed="false">
      <c r="A17" s="60" t="str">
        <f aca="false">IF(B17="","",ROW()-5)</f>
        <v/>
      </c>
      <c r="B17" s="51"/>
      <c r="C17" s="51"/>
      <c r="D17" s="51"/>
      <c r="E17" s="51"/>
      <c r="F17" s="53"/>
      <c r="G17" s="53"/>
      <c r="H17" s="52"/>
      <c r="I17" s="51"/>
      <c r="J17" s="65"/>
      <c r="K17" s="51"/>
      <c r="L17" s="36" t="str">
        <f aca="false">IF(B17="","",SUMIFS('Time Log'!$D$6:$D$705,'Time Log'!$B$6:$B$705,B17))</f>
        <v/>
      </c>
      <c r="M17" s="35" t="str">
        <f aca="false">IF(B17="","",SUMIFS(Invoices!$E$6:$E$505,Invoices!$C$6:$C$505,B17,Invoices!$B$6:$B$505,"&gt;="&amp;DATE(Settings!$C$5,1,1),Invoices!$B$6:$B$505,"&lt;="&amp;DATE(Settings!$C$5,12,31)))</f>
        <v/>
      </c>
      <c r="N17" s="35" t="str">
        <f aca="false">IF(B17="","",SUMIFS(Invoices!$I$6:$I$505,Invoices!$C$6:$C$505,B17,Invoices!$H$6:$H$505,"&gt;="&amp;DATE(Settings!$C$5,1,1),Invoices!$H$6:$H$505,"&lt;="&amp;DATE(Settings!$C$5,12,31)))</f>
        <v/>
      </c>
      <c r="O17" s="35" t="str">
        <f aca="false">IF(B17="","",SUMIFS(Invoices!$K$6:$K$505,Invoices!$C$6:$C$505,B17))</f>
        <v/>
      </c>
      <c r="P17" s="35" t="str">
        <f aca="false">IF(OR(B17="",N(L17)=0),"",M17/L17)</f>
        <v/>
      </c>
      <c r="Q17" s="37" t="str">
        <f aca="false">IF(OR(B17="",SUM($M$6:$M$25)=0),"",M17/SUM($M$6:$M$25))</f>
        <v/>
      </c>
      <c r="R17" s="66" t="str">
        <f aca="false">IF(B17="","",IFERROR(ROUND(AVERAGEIFS(Invoices!$O$6:$O$505,Invoices!$C$6:$C$505,B17),0),""))</f>
        <v/>
      </c>
      <c r="S17" s="38" t="str">
        <f aca="false">IF(OR(B17="",K17="Past"),"",IF(AND(ISNUMBER(Q17),Q17&gt;0.25),"Too big to lose. Diversify.",IF(AND(ISNUMBER(P17),P17&lt;'Rate Calculator'!$C$17),"Below your target rate",IF(AND(ISNUMBER(R17),R17&gt;N(H17)+5),"Slow payer. Tighten terms.","Healthy"))))</f>
        <v/>
      </c>
      <c r="T17" s="39" t="str">
        <f aca="false">IF(OR(B17="",N(M17)=0),"",M17+ROW()/1000000)</f>
        <v/>
      </c>
    </row>
    <row r="18" customFormat="false" ht="15" hidden="false" customHeight="false" outlineLevel="0" collapsed="false">
      <c r="A18" s="60" t="str">
        <f aca="false">IF(B18="","",ROW()-5)</f>
        <v/>
      </c>
      <c r="B18" s="51"/>
      <c r="C18" s="51"/>
      <c r="D18" s="51"/>
      <c r="E18" s="51"/>
      <c r="F18" s="53"/>
      <c r="G18" s="53"/>
      <c r="H18" s="52"/>
      <c r="I18" s="51"/>
      <c r="J18" s="65"/>
      <c r="K18" s="51"/>
      <c r="L18" s="36" t="str">
        <f aca="false">IF(B18="","",SUMIFS('Time Log'!$D$6:$D$705,'Time Log'!$B$6:$B$705,B18))</f>
        <v/>
      </c>
      <c r="M18" s="35" t="str">
        <f aca="false">IF(B18="","",SUMIFS(Invoices!$E$6:$E$505,Invoices!$C$6:$C$505,B18,Invoices!$B$6:$B$505,"&gt;="&amp;DATE(Settings!$C$5,1,1),Invoices!$B$6:$B$505,"&lt;="&amp;DATE(Settings!$C$5,12,31)))</f>
        <v/>
      </c>
      <c r="N18" s="35" t="str">
        <f aca="false">IF(B18="","",SUMIFS(Invoices!$I$6:$I$505,Invoices!$C$6:$C$505,B18,Invoices!$H$6:$H$505,"&gt;="&amp;DATE(Settings!$C$5,1,1),Invoices!$H$6:$H$505,"&lt;="&amp;DATE(Settings!$C$5,12,31)))</f>
        <v/>
      </c>
      <c r="O18" s="35" t="str">
        <f aca="false">IF(B18="","",SUMIFS(Invoices!$K$6:$K$505,Invoices!$C$6:$C$505,B18))</f>
        <v/>
      </c>
      <c r="P18" s="35" t="str">
        <f aca="false">IF(OR(B18="",N(L18)=0),"",M18/L18)</f>
        <v/>
      </c>
      <c r="Q18" s="37" t="str">
        <f aca="false">IF(OR(B18="",SUM($M$6:$M$25)=0),"",M18/SUM($M$6:$M$25))</f>
        <v/>
      </c>
      <c r="R18" s="66" t="str">
        <f aca="false">IF(B18="","",IFERROR(ROUND(AVERAGEIFS(Invoices!$O$6:$O$505,Invoices!$C$6:$C$505,B18),0),""))</f>
        <v/>
      </c>
      <c r="S18" s="38" t="str">
        <f aca="false">IF(OR(B18="",K18="Past"),"",IF(AND(ISNUMBER(Q18),Q18&gt;0.25),"Too big to lose. Diversify.",IF(AND(ISNUMBER(P18),P18&lt;'Rate Calculator'!$C$17),"Below your target rate",IF(AND(ISNUMBER(R18),R18&gt;N(H18)+5),"Slow payer. Tighten terms.","Healthy"))))</f>
        <v/>
      </c>
      <c r="T18" s="39" t="str">
        <f aca="false">IF(OR(B18="",N(M18)=0),"",M18+ROW()/1000000)</f>
        <v/>
      </c>
    </row>
    <row r="19" customFormat="false" ht="15" hidden="false" customHeight="false" outlineLevel="0" collapsed="false">
      <c r="A19" s="60" t="str">
        <f aca="false">IF(B19="","",ROW()-5)</f>
        <v/>
      </c>
      <c r="B19" s="51"/>
      <c r="C19" s="51"/>
      <c r="D19" s="51"/>
      <c r="E19" s="51"/>
      <c r="F19" s="53"/>
      <c r="G19" s="53"/>
      <c r="H19" s="52"/>
      <c r="I19" s="51"/>
      <c r="J19" s="65"/>
      <c r="K19" s="51"/>
      <c r="L19" s="36" t="str">
        <f aca="false">IF(B19="","",SUMIFS('Time Log'!$D$6:$D$705,'Time Log'!$B$6:$B$705,B19))</f>
        <v/>
      </c>
      <c r="M19" s="35" t="str">
        <f aca="false">IF(B19="","",SUMIFS(Invoices!$E$6:$E$505,Invoices!$C$6:$C$505,B19,Invoices!$B$6:$B$505,"&gt;="&amp;DATE(Settings!$C$5,1,1),Invoices!$B$6:$B$505,"&lt;="&amp;DATE(Settings!$C$5,12,31)))</f>
        <v/>
      </c>
      <c r="N19" s="35" t="str">
        <f aca="false">IF(B19="","",SUMIFS(Invoices!$I$6:$I$505,Invoices!$C$6:$C$505,B19,Invoices!$H$6:$H$505,"&gt;="&amp;DATE(Settings!$C$5,1,1),Invoices!$H$6:$H$505,"&lt;="&amp;DATE(Settings!$C$5,12,31)))</f>
        <v/>
      </c>
      <c r="O19" s="35" t="str">
        <f aca="false">IF(B19="","",SUMIFS(Invoices!$K$6:$K$505,Invoices!$C$6:$C$505,B19))</f>
        <v/>
      </c>
      <c r="P19" s="35" t="str">
        <f aca="false">IF(OR(B19="",N(L19)=0),"",M19/L19)</f>
        <v/>
      </c>
      <c r="Q19" s="37" t="str">
        <f aca="false">IF(OR(B19="",SUM($M$6:$M$25)=0),"",M19/SUM($M$6:$M$25))</f>
        <v/>
      </c>
      <c r="R19" s="66" t="str">
        <f aca="false">IF(B19="","",IFERROR(ROUND(AVERAGEIFS(Invoices!$O$6:$O$505,Invoices!$C$6:$C$505,B19),0),""))</f>
        <v/>
      </c>
      <c r="S19" s="38" t="str">
        <f aca="false">IF(OR(B19="",K19="Past"),"",IF(AND(ISNUMBER(Q19),Q19&gt;0.25),"Too big to lose. Diversify.",IF(AND(ISNUMBER(P19),P19&lt;'Rate Calculator'!$C$17),"Below your target rate",IF(AND(ISNUMBER(R19),R19&gt;N(H19)+5),"Slow payer. Tighten terms.","Healthy"))))</f>
        <v/>
      </c>
      <c r="T19" s="39" t="str">
        <f aca="false">IF(OR(B19="",N(M19)=0),"",M19+ROW()/1000000)</f>
        <v/>
      </c>
    </row>
    <row r="20" customFormat="false" ht="15" hidden="false" customHeight="false" outlineLevel="0" collapsed="false">
      <c r="A20" s="60" t="str">
        <f aca="false">IF(B20="","",ROW()-5)</f>
        <v/>
      </c>
      <c r="B20" s="51"/>
      <c r="C20" s="51"/>
      <c r="D20" s="51"/>
      <c r="E20" s="51"/>
      <c r="F20" s="53"/>
      <c r="G20" s="53"/>
      <c r="H20" s="52"/>
      <c r="I20" s="51"/>
      <c r="J20" s="65"/>
      <c r="K20" s="51"/>
      <c r="L20" s="36" t="str">
        <f aca="false">IF(B20="","",SUMIFS('Time Log'!$D$6:$D$705,'Time Log'!$B$6:$B$705,B20))</f>
        <v/>
      </c>
      <c r="M20" s="35" t="str">
        <f aca="false">IF(B20="","",SUMIFS(Invoices!$E$6:$E$505,Invoices!$C$6:$C$505,B20,Invoices!$B$6:$B$505,"&gt;="&amp;DATE(Settings!$C$5,1,1),Invoices!$B$6:$B$505,"&lt;="&amp;DATE(Settings!$C$5,12,31)))</f>
        <v/>
      </c>
      <c r="N20" s="35" t="str">
        <f aca="false">IF(B20="","",SUMIFS(Invoices!$I$6:$I$505,Invoices!$C$6:$C$505,B20,Invoices!$H$6:$H$505,"&gt;="&amp;DATE(Settings!$C$5,1,1),Invoices!$H$6:$H$505,"&lt;="&amp;DATE(Settings!$C$5,12,31)))</f>
        <v/>
      </c>
      <c r="O20" s="35" t="str">
        <f aca="false">IF(B20="","",SUMIFS(Invoices!$K$6:$K$505,Invoices!$C$6:$C$505,B20))</f>
        <v/>
      </c>
      <c r="P20" s="35" t="str">
        <f aca="false">IF(OR(B20="",N(L20)=0),"",M20/L20)</f>
        <v/>
      </c>
      <c r="Q20" s="37" t="str">
        <f aca="false">IF(OR(B20="",SUM($M$6:$M$25)=0),"",M20/SUM($M$6:$M$25))</f>
        <v/>
      </c>
      <c r="R20" s="66" t="str">
        <f aca="false">IF(B20="","",IFERROR(ROUND(AVERAGEIFS(Invoices!$O$6:$O$505,Invoices!$C$6:$C$505,B20),0),""))</f>
        <v/>
      </c>
      <c r="S20" s="38" t="str">
        <f aca="false">IF(OR(B20="",K20="Past"),"",IF(AND(ISNUMBER(Q20),Q20&gt;0.25),"Too big to lose. Diversify.",IF(AND(ISNUMBER(P20),P20&lt;'Rate Calculator'!$C$17),"Below your target rate",IF(AND(ISNUMBER(R20),R20&gt;N(H20)+5),"Slow payer. Tighten terms.","Healthy"))))</f>
        <v/>
      </c>
      <c r="T20" s="39" t="str">
        <f aca="false">IF(OR(B20="",N(M20)=0),"",M20+ROW()/1000000)</f>
        <v/>
      </c>
    </row>
    <row r="21" customFormat="false" ht="15" hidden="false" customHeight="false" outlineLevel="0" collapsed="false">
      <c r="A21" s="60" t="str">
        <f aca="false">IF(B21="","",ROW()-5)</f>
        <v/>
      </c>
      <c r="B21" s="51"/>
      <c r="C21" s="51"/>
      <c r="D21" s="51"/>
      <c r="E21" s="51"/>
      <c r="F21" s="53"/>
      <c r="G21" s="53"/>
      <c r="H21" s="52"/>
      <c r="I21" s="51"/>
      <c r="J21" s="65"/>
      <c r="K21" s="51"/>
      <c r="L21" s="36" t="str">
        <f aca="false">IF(B21="","",SUMIFS('Time Log'!$D$6:$D$705,'Time Log'!$B$6:$B$705,B21))</f>
        <v/>
      </c>
      <c r="M21" s="35" t="str">
        <f aca="false">IF(B21="","",SUMIFS(Invoices!$E$6:$E$505,Invoices!$C$6:$C$505,B21,Invoices!$B$6:$B$505,"&gt;="&amp;DATE(Settings!$C$5,1,1),Invoices!$B$6:$B$505,"&lt;="&amp;DATE(Settings!$C$5,12,31)))</f>
        <v/>
      </c>
      <c r="N21" s="35" t="str">
        <f aca="false">IF(B21="","",SUMIFS(Invoices!$I$6:$I$505,Invoices!$C$6:$C$505,B21,Invoices!$H$6:$H$505,"&gt;="&amp;DATE(Settings!$C$5,1,1),Invoices!$H$6:$H$505,"&lt;="&amp;DATE(Settings!$C$5,12,31)))</f>
        <v/>
      </c>
      <c r="O21" s="35" t="str">
        <f aca="false">IF(B21="","",SUMIFS(Invoices!$K$6:$K$505,Invoices!$C$6:$C$505,B21))</f>
        <v/>
      </c>
      <c r="P21" s="35" t="str">
        <f aca="false">IF(OR(B21="",N(L21)=0),"",M21/L21)</f>
        <v/>
      </c>
      <c r="Q21" s="37" t="str">
        <f aca="false">IF(OR(B21="",SUM($M$6:$M$25)=0),"",M21/SUM($M$6:$M$25))</f>
        <v/>
      </c>
      <c r="R21" s="66" t="str">
        <f aca="false">IF(B21="","",IFERROR(ROUND(AVERAGEIFS(Invoices!$O$6:$O$505,Invoices!$C$6:$C$505,B21),0),""))</f>
        <v/>
      </c>
      <c r="S21" s="38" t="str">
        <f aca="false">IF(OR(B21="",K21="Past"),"",IF(AND(ISNUMBER(Q21),Q21&gt;0.25),"Too big to lose. Diversify.",IF(AND(ISNUMBER(P21),P21&lt;'Rate Calculator'!$C$17),"Below your target rate",IF(AND(ISNUMBER(R21),R21&gt;N(H21)+5),"Slow payer. Tighten terms.","Healthy"))))</f>
        <v/>
      </c>
      <c r="T21" s="39" t="str">
        <f aca="false">IF(OR(B21="",N(M21)=0),"",M21+ROW()/1000000)</f>
        <v/>
      </c>
    </row>
    <row r="22" customFormat="false" ht="15" hidden="false" customHeight="false" outlineLevel="0" collapsed="false">
      <c r="A22" s="60" t="str">
        <f aca="false">IF(B22="","",ROW()-5)</f>
        <v/>
      </c>
      <c r="B22" s="51"/>
      <c r="C22" s="51"/>
      <c r="D22" s="51"/>
      <c r="E22" s="51"/>
      <c r="F22" s="53"/>
      <c r="G22" s="53"/>
      <c r="H22" s="52"/>
      <c r="I22" s="51"/>
      <c r="J22" s="65"/>
      <c r="K22" s="51"/>
      <c r="L22" s="36" t="str">
        <f aca="false">IF(B22="","",SUMIFS('Time Log'!$D$6:$D$705,'Time Log'!$B$6:$B$705,B22))</f>
        <v/>
      </c>
      <c r="M22" s="35" t="str">
        <f aca="false">IF(B22="","",SUMIFS(Invoices!$E$6:$E$505,Invoices!$C$6:$C$505,B22,Invoices!$B$6:$B$505,"&gt;="&amp;DATE(Settings!$C$5,1,1),Invoices!$B$6:$B$505,"&lt;="&amp;DATE(Settings!$C$5,12,31)))</f>
        <v/>
      </c>
      <c r="N22" s="35" t="str">
        <f aca="false">IF(B22="","",SUMIFS(Invoices!$I$6:$I$505,Invoices!$C$6:$C$505,B22,Invoices!$H$6:$H$505,"&gt;="&amp;DATE(Settings!$C$5,1,1),Invoices!$H$6:$H$505,"&lt;="&amp;DATE(Settings!$C$5,12,31)))</f>
        <v/>
      </c>
      <c r="O22" s="35" t="str">
        <f aca="false">IF(B22="","",SUMIFS(Invoices!$K$6:$K$505,Invoices!$C$6:$C$505,B22))</f>
        <v/>
      </c>
      <c r="P22" s="35" t="str">
        <f aca="false">IF(OR(B22="",N(L22)=0),"",M22/L22)</f>
        <v/>
      </c>
      <c r="Q22" s="37" t="str">
        <f aca="false">IF(OR(B22="",SUM($M$6:$M$25)=0),"",M22/SUM($M$6:$M$25))</f>
        <v/>
      </c>
      <c r="R22" s="66" t="str">
        <f aca="false">IF(B22="","",IFERROR(ROUND(AVERAGEIFS(Invoices!$O$6:$O$505,Invoices!$C$6:$C$505,B22),0),""))</f>
        <v/>
      </c>
      <c r="S22" s="38" t="str">
        <f aca="false">IF(OR(B22="",K22="Past"),"",IF(AND(ISNUMBER(Q22),Q22&gt;0.25),"Too big to lose. Diversify.",IF(AND(ISNUMBER(P22),P22&lt;'Rate Calculator'!$C$17),"Below your target rate",IF(AND(ISNUMBER(R22),R22&gt;N(H22)+5),"Slow payer. Tighten terms.","Healthy"))))</f>
        <v/>
      </c>
      <c r="T22" s="39" t="str">
        <f aca="false">IF(OR(B22="",N(M22)=0),"",M22+ROW()/1000000)</f>
        <v/>
      </c>
    </row>
    <row r="23" customFormat="false" ht="15" hidden="false" customHeight="false" outlineLevel="0" collapsed="false">
      <c r="A23" s="60" t="str">
        <f aca="false">IF(B23="","",ROW()-5)</f>
        <v/>
      </c>
      <c r="B23" s="51"/>
      <c r="C23" s="51"/>
      <c r="D23" s="51"/>
      <c r="E23" s="51"/>
      <c r="F23" s="53"/>
      <c r="G23" s="53"/>
      <c r="H23" s="52"/>
      <c r="I23" s="51"/>
      <c r="J23" s="65"/>
      <c r="K23" s="51"/>
      <c r="L23" s="36" t="str">
        <f aca="false">IF(B23="","",SUMIFS('Time Log'!$D$6:$D$705,'Time Log'!$B$6:$B$705,B23))</f>
        <v/>
      </c>
      <c r="M23" s="35" t="str">
        <f aca="false">IF(B23="","",SUMIFS(Invoices!$E$6:$E$505,Invoices!$C$6:$C$505,B23,Invoices!$B$6:$B$505,"&gt;="&amp;DATE(Settings!$C$5,1,1),Invoices!$B$6:$B$505,"&lt;="&amp;DATE(Settings!$C$5,12,31)))</f>
        <v/>
      </c>
      <c r="N23" s="35" t="str">
        <f aca="false">IF(B23="","",SUMIFS(Invoices!$I$6:$I$505,Invoices!$C$6:$C$505,B23,Invoices!$H$6:$H$505,"&gt;="&amp;DATE(Settings!$C$5,1,1),Invoices!$H$6:$H$505,"&lt;="&amp;DATE(Settings!$C$5,12,31)))</f>
        <v/>
      </c>
      <c r="O23" s="35" t="str">
        <f aca="false">IF(B23="","",SUMIFS(Invoices!$K$6:$K$505,Invoices!$C$6:$C$505,B23))</f>
        <v/>
      </c>
      <c r="P23" s="35" t="str">
        <f aca="false">IF(OR(B23="",N(L23)=0),"",M23/L23)</f>
        <v/>
      </c>
      <c r="Q23" s="37" t="str">
        <f aca="false">IF(OR(B23="",SUM($M$6:$M$25)=0),"",M23/SUM($M$6:$M$25))</f>
        <v/>
      </c>
      <c r="R23" s="66" t="str">
        <f aca="false">IF(B23="","",IFERROR(ROUND(AVERAGEIFS(Invoices!$O$6:$O$505,Invoices!$C$6:$C$505,B23),0),""))</f>
        <v/>
      </c>
      <c r="S23" s="38" t="str">
        <f aca="false">IF(OR(B23="",K23="Past"),"",IF(AND(ISNUMBER(Q23),Q23&gt;0.25),"Too big to lose. Diversify.",IF(AND(ISNUMBER(P23),P23&lt;'Rate Calculator'!$C$17),"Below your target rate",IF(AND(ISNUMBER(R23),R23&gt;N(H23)+5),"Slow payer. Tighten terms.","Healthy"))))</f>
        <v/>
      </c>
      <c r="T23" s="39" t="str">
        <f aca="false">IF(OR(B23="",N(M23)=0),"",M23+ROW()/1000000)</f>
        <v/>
      </c>
    </row>
    <row r="24" customFormat="false" ht="15" hidden="false" customHeight="false" outlineLevel="0" collapsed="false">
      <c r="A24" s="60" t="str">
        <f aca="false">IF(B24="","",ROW()-5)</f>
        <v/>
      </c>
      <c r="B24" s="51"/>
      <c r="C24" s="51"/>
      <c r="D24" s="51"/>
      <c r="E24" s="51"/>
      <c r="F24" s="53"/>
      <c r="G24" s="53"/>
      <c r="H24" s="52"/>
      <c r="I24" s="51"/>
      <c r="J24" s="65"/>
      <c r="K24" s="51"/>
      <c r="L24" s="36" t="str">
        <f aca="false">IF(B24="","",SUMIFS('Time Log'!$D$6:$D$705,'Time Log'!$B$6:$B$705,B24))</f>
        <v/>
      </c>
      <c r="M24" s="35" t="str">
        <f aca="false">IF(B24="","",SUMIFS(Invoices!$E$6:$E$505,Invoices!$C$6:$C$505,B24,Invoices!$B$6:$B$505,"&gt;="&amp;DATE(Settings!$C$5,1,1),Invoices!$B$6:$B$505,"&lt;="&amp;DATE(Settings!$C$5,12,31)))</f>
        <v/>
      </c>
      <c r="N24" s="35" t="str">
        <f aca="false">IF(B24="","",SUMIFS(Invoices!$I$6:$I$505,Invoices!$C$6:$C$505,B24,Invoices!$H$6:$H$505,"&gt;="&amp;DATE(Settings!$C$5,1,1),Invoices!$H$6:$H$505,"&lt;="&amp;DATE(Settings!$C$5,12,31)))</f>
        <v/>
      </c>
      <c r="O24" s="35" t="str">
        <f aca="false">IF(B24="","",SUMIFS(Invoices!$K$6:$K$505,Invoices!$C$6:$C$505,B24))</f>
        <v/>
      </c>
      <c r="P24" s="35" t="str">
        <f aca="false">IF(OR(B24="",N(L24)=0),"",M24/L24)</f>
        <v/>
      </c>
      <c r="Q24" s="37" t="str">
        <f aca="false">IF(OR(B24="",SUM($M$6:$M$25)=0),"",M24/SUM($M$6:$M$25))</f>
        <v/>
      </c>
      <c r="R24" s="66" t="str">
        <f aca="false">IF(B24="","",IFERROR(ROUND(AVERAGEIFS(Invoices!$O$6:$O$505,Invoices!$C$6:$C$505,B24),0),""))</f>
        <v/>
      </c>
      <c r="S24" s="38" t="str">
        <f aca="false">IF(OR(B24="",K24="Past"),"",IF(AND(ISNUMBER(Q24),Q24&gt;0.25),"Too big to lose. Diversify.",IF(AND(ISNUMBER(P24),P24&lt;'Rate Calculator'!$C$17),"Below your target rate",IF(AND(ISNUMBER(R24),R24&gt;N(H24)+5),"Slow payer. Tighten terms.","Healthy"))))</f>
        <v/>
      </c>
      <c r="T24" s="39" t="str">
        <f aca="false">IF(OR(B24="",N(M24)=0),"",M24+ROW()/1000000)</f>
        <v/>
      </c>
    </row>
    <row r="25" customFormat="false" ht="15" hidden="false" customHeight="false" outlineLevel="0" collapsed="false">
      <c r="A25" s="60" t="str">
        <f aca="false">IF(B25="","",ROW()-5)</f>
        <v/>
      </c>
      <c r="B25" s="51"/>
      <c r="C25" s="51"/>
      <c r="D25" s="51"/>
      <c r="E25" s="51"/>
      <c r="F25" s="53"/>
      <c r="G25" s="53"/>
      <c r="H25" s="52"/>
      <c r="I25" s="51"/>
      <c r="J25" s="65"/>
      <c r="K25" s="51"/>
      <c r="L25" s="36" t="str">
        <f aca="false">IF(B25="","",SUMIFS('Time Log'!$D$6:$D$705,'Time Log'!$B$6:$B$705,B25))</f>
        <v/>
      </c>
      <c r="M25" s="35" t="str">
        <f aca="false">IF(B25="","",SUMIFS(Invoices!$E$6:$E$505,Invoices!$C$6:$C$505,B25,Invoices!$B$6:$B$505,"&gt;="&amp;DATE(Settings!$C$5,1,1),Invoices!$B$6:$B$505,"&lt;="&amp;DATE(Settings!$C$5,12,31)))</f>
        <v/>
      </c>
      <c r="N25" s="35" t="str">
        <f aca="false">IF(B25="","",SUMIFS(Invoices!$I$6:$I$505,Invoices!$C$6:$C$505,B25,Invoices!$H$6:$H$505,"&gt;="&amp;DATE(Settings!$C$5,1,1),Invoices!$H$6:$H$505,"&lt;="&amp;DATE(Settings!$C$5,12,31)))</f>
        <v/>
      </c>
      <c r="O25" s="35" t="str">
        <f aca="false">IF(B25="","",SUMIFS(Invoices!$K$6:$K$505,Invoices!$C$6:$C$505,B25))</f>
        <v/>
      </c>
      <c r="P25" s="35" t="str">
        <f aca="false">IF(OR(B25="",N(L25)=0),"",M25/L25)</f>
        <v/>
      </c>
      <c r="Q25" s="37" t="str">
        <f aca="false">IF(OR(B25="",SUM($M$6:$M$25)=0),"",M25/SUM($M$6:$M$25))</f>
        <v/>
      </c>
      <c r="R25" s="66" t="str">
        <f aca="false">IF(B25="","",IFERROR(ROUND(AVERAGEIFS(Invoices!$O$6:$O$505,Invoices!$C$6:$C$505,B25),0),""))</f>
        <v/>
      </c>
      <c r="S25" s="38" t="str">
        <f aca="false">IF(OR(B25="",K25="Past"),"",IF(AND(ISNUMBER(Q25),Q25&gt;0.25),"Too big to lose. Diversify.",IF(AND(ISNUMBER(P25),P25&lt;'Rate Calculator'!$C$17),"Below your target rate",IF(AND(ISNUMBER(R25),R25&gt;N(H25)+5),"Slow payer. Tighten terms.","Healthy"))))</f>
        <v/>
      </c>
      <c r="T25" s="39" t="str">
        <f aca="false">IF(OR(B25="",N(M25)=0),"",M25+ROW()/1000000)</f>
        <v/>
      </c>
    </row>
    <row r="27" customFormat="false" ht="15" hidden="false" customHeight="false" outlineLevel="0" collapsed="false">
      <c r="B27" s="50" t="s">
        <v>228</v>
      </c>
    </row>
    <row r="28" customFormat="false" ht="15" hidden="false" customHeight="false" outlineLevel="0" collapsed="false">
      <c r="B28" s="67" t="s">
        <v>229</v>
      </c>
    </row>
    <row r="29" customFormat="false" ht="15" hidden="false" customHeight="false" outlineLevel="0" collapsed="false">
      <c r="B29" s="67" t="s">
        <v>230</v>
      </c>
    </row>
    <row r="30" customFormat="false" ht="15" hidden="false" customHeight="false" outlineLevel="0" collapsed="false">
      <c r="B30" s="67" t="s">
        <v>231</v>
      </c>
    </row>
    <row r="31" customFormat="false" ht="15" hidden="false" customHeight="false" outlineLevel="0" collapsed="false">
      <c r="B31" s="67" t="s">
        <v>232</v>
      </c>
    </row>
  </sheetData>
  <conditionalFormatting sqref="S6:S25">
    <cfRule type="expression" priority="2" aboveAverage="0" equalAverage="0" bottom="0" percent="0" rank="0" text="" dxfId="1">
      <formula>S6="Healthy"</formula>
    </cfRule>
    <cfRule type="expression" priority="3" aboveAverage="0" equalAverage="0" bottom="0" percent="0" rank="0" text="" dxfId="0">
      <formula>LEFT(S6,3)="Too"</formula>
    </cfRule>
    <cfRule type="expression" priority="4" aboveAverage="0" equalAverage="0" bottom="0" percent="0" rank="0" text="" dxfId="2">
      <formula>OR(LEFT(S6,5)="Below",LEFT(S6,4)="Slow")</formula>
    </cfRule>
  </conditionalFormatting>
  <dataValidations count="3">
    <dataValidation allowBlank="true" errorStyle="stop" operator="between" showDropDown="false" showErrorMessage="false" showInputMessage="false" sqref="E6:E25" type="list">
      <formula1>Settings!$H$16:$H$18</formula1>
      <formula2>0</formula2>
    </dataValidation>
    <dataValidation allowBlank="true" errorStyle="stop" operator="between" showDropDown="false" showErrorMessage="false" showInputMessage="false" sqref="I6:I25" type="list">
      <formula1>Settings!$J$16:$J$25</formula1>
      <formula2>0</formula2>
    </dataValidation>
    <dataValidation allowBlank="true" errorStyle="stop" operator="between" showDropDown="false" showErrorMessage="false" showInputMessage="false" sqref="K6:K25" type="list">
      <formula1>Settings!$M$16:$M$18</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I7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36"/>
    <col collapsed="false" customWidth="true" hidden="false" outlineLevel="0" max="4" min="4" style="0" width="9"/>
    <col collapsed="false" customWidth="true" hidden="false" outlineLevel="0" max="6" min="5" style="0" width="10"/>
    <col collapsed="false" customWidth="true" hidden="false" outlineLevel="0" max="7" min="7" style="0" width="12"/>
    <col collapsed="false" customWidth="true" hidden="false" outlineLevel="0" max="8" min="8" style="0" width="11"/>
    <col collapsed="false" customWidth="true" hidden="false" outlineLevel="0" max="9" min="9" style="0" width="34"/>
  </cols>
  <sheetData>
    <row r="1" customFormat="false" ht="22.05" hidden="false" customHeight="false" outlineLevel="0" collapsed="false">
      <c r="A1" s="48" t="s">
        <v>233</v>
      </c>
    </row>
    <row r="2" customFormat="false" ht="15" hidden="false" customHeight="false" outlineLevel="0" collapsed="false">
      <c r="A2" s="49" t="s">
        <v>234</v>
      </c>
    </row>
    <row r="3" customFormat="false" ht="15" hidden="false" customHeight="false" outlineLevel="0" collapsed="false">
      <c r="A3" s="68" t="s">
        <v>235</v>
      </c>
      <c r="C3" s="68" t="s">
        <v>236</v>
      </c>
      <c r="E3" s="68" t="s">
        <v>237</v>
      </c>
      <c r="G3" s="68" t="s">
        <v>238</v>
      </c>
    </row>
    <row r="4" customFormat="false" ht="15" hidden="false" customHeight="false" outlineLevel="0" collapsed="false">
      <c r="A4" s="69" t="n">
        <f aca="false">SUM(D6:D705)</f>
        <v>1248.75</v>
      </c>
      <c r="C4" s="69" t="n">
        <f aca="false">SUMIFS(D6:D705,E6:E705,"Yes")</f>
        <v>1010</v>
      </c>
      <c r="E4" s="70" t="n">
        <f aca="false">IF(N(A4)=0,"",C4/A4)</f>
        <v>0.808808808808809</v>
      </c>
      <c r="G4" s="71" t="n">
        <f aca="false">SUMIFS(G6:G705,H6:H705,"No")</f>
        <v>3365</v>
      </c>
    </row>
    <row r="5" customFormat="false" ht="30" hidden="false" customHeight="true" outlineLevel="0" collapsed="false">
      <c r="A5" s="56" t="s">
        <v>239</v>
      </c>
      <c r="B5" s="57" t="s">
        <v>48</v>
      </c>
      <c r="C5" s="57" t="s">
        <v>240</v>
      </c>
      <c r="D5" s="57" t="s">
        <v>52</v>
      </c>
      <c r="E5" s="57" t="s">
        <v>241</v>
      </c>
      <c r="F5" s="57" t="s">
        <v>242</v>
      </c>
      <c r="G5" s="57" t="s">
        <v>243</v>
      </c>
      <c r="H5" s="57" t="s">
        <v>244</v>
      </c>
      <c r="I5" s="57" t="s">
        <v>245</v>
      </c>
    </row>
    <row r="6" customFormat="false" ht="15" hidden="false" customHeight="false" outlineLevel="0" collapsed="false">
      <c r="A6" s="65" t="n">
        <v>46024</v>
      </c>
      <c r="B6" s="51" t="s">
        <v>213</v>
      </c>
      <c r="C6" s="51" t="s">
        <v>246</v>
      </c>
      <c r="D6" s="72" t="n">
        <v>3.75</v>
      </c>
      <c r="E6" s="51" t="s">
        <v>247</v>
      </c>
      <c r="F6" s="35" t="n">
        <f aca="false">IF(OR(B6="",E6&lt;&gt;"Yes"),"",IFERROR(INDEX(Clients!$F$6:$F$25,MATCH(B6,Clients!$B$6:$B$25,0)),""))</f>
        <v>135</v>
      </c>
      <c r="G6" s="73" t="n">
        <f aca="false">IF(AND(ISNUMBER(D6),ISNUMBER(F6)),D6*F6,"")</f>
        <v>506.25</v>
      </c>
      <c r="H6" s="51" t="s">
        <v>247</v>
      </c>
      <c r="I6" s="51"/>
    </row>
    <row r="7" customFormat="false" ht="15" hidden="false" customHeight="false" outlineLevel="0" collapsed="false">
      <c r="A7" s="65" t="n">
        <v>46024</v>
      </c>
      <c r="B7" s="51" t="s">
        <v>204</v>
      </c>
      <c r="C7" s="51" t="s">
        <v>248</v>
      </c>
      <c r="D7" s="72" t="n">
        <v>6</v>
      </c>
      <c r="E7" s="51" t="s">
        <v>247</v>
      </c>
      <c r="F7" s="35" t="n">
        <f aca="false">IF(OR(B7="",E7&lt;&gt;"Yes"),"",IFERROR(INDEX(Clients!$F$6:$F$25,MATCH(B7,Clients!$B$6:$B$25,0)),""))</f>
        <v>135</v>
      </c>
      <c r="G7" s="73" t="n">
        <f aca="false">IF(AND(ISNUMBER(D7),ISNUMBER(F7)),D7*F7,"")</f>
        <v>810</v>
      </c>
      <c r="H7" s="51" t="s">
        <v>247</v>
      </c>
      <c r="I7" s="51"/>
    </row>
    <row r="8" customFormat="false" ht="15" hidden="false" customHeight="false" outlineLevel="0" collapsed="false">
      <c r="A8" s="65" t="n">
        <v>46024</v>
      </c>
      <c r="B8" s="51" t="s">
        <v>117</v>
      </c>
      <c r="C8" s="51" t="s">
        <v>249</v>
      </c>
      <c r="D8" s="72" t="n">
        <v>4</v>
      </c>
      <c r="E8" s="51" t="s">
        <v>250</v>
      </c>
      <c r="F8" s="35" t="str">
        <f aca="false">IF(OR(B8="",E8&lt;&gt;"Yes"),"",IFERROR(INDEX(Clients!$F$6:$F$25,MATCH(B8,Clients!$B$6:$B$25,0)),""))</f>
        <v/>
      </c>
      <c r="G8" s="73" t="str">
        <f aca="false">IF(AND(ISNUMBER(D8),ISNUMBER(F8)),D8*F8,"")</f>
        <v/>
      </c>
      <c r="H8" s="51" t="s">
        <v>250</v>
      </c>
      <c r="I8" s="51"/>
    </row>
    <row r="9" customFormat="false" ht="15" hidden="false" customHeight="false" outlineLevel="0" collapsed="false">
      <c r="A9" s="65" t="n">
        <v>46024</v>
      </c>
      <c r="B9" s="51" t="s">
        <v>117</v>
      </c>
      <c r="C9" s="51" t="s">
        <v>251</v>
      </c>
      <c r="D9" s="72" t="n">
        <v>2</v>
      </c>
      <c r="E9" s="51" t="s">
        <v>250</v>
      </c>
      <c r="F9" s="35" t="str">
        <f aca="false">IF(OR(B9="",E9&lt;&gt;"Yes"),"",IFERROR(INDEX(Clients!$F$6:$F$25,MATCH(B9,Clients!$B$6:$B$25,0)),""))</f>
        <v/>
      </c>
      <c r="G9" s="73" t="str">
        <f aca="false">IF(AND(ISNUMBER(D9),ISNUMBER(F9)),D9*F9,"")</f>
        <v/>
      </c>
      <c r="H9" s="51" t="s">
        <v>250</v>
      </c>
      <c r="I9" s="51"/>
    </row>
    <row r="10" customFormat="false" ht="15" hidden="false" customHeight="false" outlineLevel="0" collapsed="false">
      <c r="A10" s="65" t="n">
        <v>46024</v>
      </c>
      <c r="B10" s="51" t="s">
        <v>207</v>
      </c>
      <c r="C10" s="51" t="s">
        <v>252</v>
      </c>
      <c r="D10" s="72" t="n">
        <v>4.25</v>
      </c>
      <c r="E10" s="51" t="s">
        <v>247</v>
      </c>
      <c r="F10" s="35" t="n">
        <f aca="false">IF(OR(B10="",E10&lt;&gt;"Yes"),"",IFERROR(INDEX(Clients!$F$6:$F$25,MATCH(B10,Clients!$B$6:$B$25,0)),""))</f>
        <v>125</v>
      </c>
      <c r="G10" s="73" t="n">
        <f aca="false">IF(AND(ISNUMBER(D10),ISNUMBER(F10)),D10*F10,"")</f>
        <v>531.25</v>
      </c>
      <c r="H10" s="51" t="s">
        <v>247</v>
      </c>
      <c r="I10" s="51"/>
    </row>
    <row r="11" customFormat="false" ht="15" hidden="false" customHeight="false" outlineLevel="0" collapsed="false">
      <c r="A11" s="65" t="n">
        <v>46024</v>
      </c>
      <c r="B11" s="51" t="s">
        <v>216</v>
      </c>
      <c r="C11" s="51" t="s">
        <v>253</v>
      </c>
      <c r="D11" s="72" t="n">
        <v>2</v>
      </c>
      <c r="E11" s="51" t="s">
        <v>247</v>
      </c>
      <c r="F11" s="35" t="n">
        <f aca="false">IF(OR(B11="",E11&lt;&gt;"Yes"),"",IFERROR(INDEX(Clients!$F$6:$F$25,MATCH(B11,Clients!$B$6:$B$25,0)),""))</f>
        <v>100</v>
      </c>
      <c r="G11" s="73" t="n">
        <f aca="false">IF(AND(ISNUMBER(D11),ISNUMBER(F11)),D11*F11,"")</f>
        <v>200</v>
      </c>
      <c r="H11" s="51" t="s">
        <v>247</v>
      </c>
      <c r="I11" s="51"/>
    </row>
    <row r="12" customFormat="false" ht="15" hidden="false" customHeight="false" outlineLevel="0" collapsed="false">
      <c r="A12" s="65" t="n">
        <v>46031</v>
      </c>
      <c r="B12" s="51" t="s">
        <v>213</v>
      </c>
      <c r="C12" s="51" t="s">
        <v>254</v>
      </c>
      <c r="D12" s="72" t="n">
        <v>2.5</v>
      </c>
      <c r="E12" s="51" t="s">
        <v>247</v>
      </c>
      <c r="F12" s="35" t="n">
        <f aca="false">IF(OR(B12="",E12&lt;&gt;"Yes"),"",IFERROR(INDEX(Clients!$F$6:$F$25,MATCH(B12,Clients!$B$6:$B$25,0)),""))</f>
        <v>135</v>
      </c>
      <c r="G12" s="73" t="n">
        <f aca="false">IF(AND(ISNUMBER(D12),ISNUMBER(F12)),D12*F12,"")</f>
        <v>337.5</v>
      </c>
      <c r="H12" s="51" t="s">
        <v>247</v>
      </c>
      <c r="I12" s="51"/>
    </row>
    <row r="13" customFormat="false" ht="15" hidden="false" customHeight="false" outlineLevel="0" collapsed="false">
      <c r="A13" s="65" t="n">
        <v>46031</v>
      </c>
      <c r="B13" s="51" t="s">
        <v>204</v>
      </c>
      <c r="C13" s="51" t="s">
        <v>248</v>
      </c>
      <c r="D13" s="72" t="n">
        <v>6.75</v>
      </c>
      <c r="E13" s="51" t="s">
        <v>247</v>
      </c>
      <c r="F13" s="35" t="n">
        <f aca="false">IF(OR(B13="",E13&lt;&gt;"Yes"),"",IFERROR(INDEX(Clients!$F$6:$F$25,MATCH(B13,Clients!$B$6:$B$25,0)),""))</f>
        <v>135</v>
      </c>
      <c r="G13" s="73" t="n">
        <f aca="false">IF(AND(ISNUMBER(D13),ISNUMBER(F13)),D13*F13,"")</f>
        <v>911.25</v>
      </c>
      <c r="H13" s="51" t="s">
        <v>247</v>
      </c>
      <c r="I13" s="51"/>
    </row>
    <row r="14" customFormat="false" ht="15" hidden="false" customHeight="false" outlineLevel="0" collapsed="false">
      <c r="A14" s="65" t="n">
        <v>46031</v>
      </c>
      <c r="B14" s="51" t="s">
        <v>117</v>
      </c>
      <c r="C14" s="51" t="s">
        <v>249</v>
      </c>
      <c r="D14" s="72" t="n">
        <v>4</v>
      </c>
      <c r="E14" s="51" t="s">
        <v>250</v>
      </c>
      <c r="F14" s="35" t="str">
        <f aca="false">IF(OR(B14="",E14&lt;&gt;"Yes"),"",IFERROR(INDEX(Clients!$F$6:$F$25,MATCH(B14,Clients!$B$6:$B$25,0)),""))</f>
        <v/>
      </c>
      <c r="G14" s="73" t="str">
        <f aca="false">IF(AND(ISNUMBER(D14),ISNUMBER(F14)),D14*F14,"")</f>
        <v/>
      </c>
      <c r="H14" s="51" t="s">
        <v>250</v>
      </c>
      <c r="I14" s="51"/>
    </row>
    <row r="15" customFormat="false" ht="15" hidden="false" customHeight="false" outlineLevel="0" collapsed="false">
      <c r="A15" s="65" t="n">
        <v>46031</v>
      </c>
      <c r="B15" s="51" t="s">
        <v>117</v>
      </c>
      <c r="C15" s="51" t="s">
        <v>251</v>
      </c>
      <c r="D15" s="72" t="n">
        <v>2.25</v>
      </c>
      <c r="E15" s="51" t="s">
        <v>250</v>
      </c>
      <c r="F15" s="35" t="str">
        <f aca="false">IF(OR(B15="",E15&lt;&gt;"Yes"),"",IFERROR(INDEX(Clients!$F$6:$F$25,MATCH(B15,Clients!$B$6:$B$25,0)),""))</f>
        <v/>
      </c>
      <c r="G15" s="73" t="str">
        <f aca="false">IF(AND(ISNUMBER(D15),ISNUMBER(F15)),D15*F15,"")</f>
        <v/>
      </c>
      <c r="H15" s="51" t="s">
        <v>250</v>
      </c>
      <c r="I15" s="51"/>
    </row>
    <row r="16" customFormat="false" ht="15" hidden="false" customHeight="false" outlineLevel="0" collapsed="false">
      <c r="A16" s="65" t="n">
        <v>46031</v>
      </c>
      <c r="B16" s="51" t="s">
        <v>207</v>
      </c>
      <c r="C16" s="51" t="s">
        <v>255</v>
      </c>
      <c r="D16" s="72" t="n">
        <v>6.25</v>
      </c>
      <c r="E16" s="51" t="s">
        <v>247</v>
      </c>
      <c r="F16" s="35" t="n">
        <f aca="false">IF(OR(B16="",E16&lt;&gt;"Yes"),"",IFERROR(INDEX(Clients!$F$6:$F$25,MATCH(B16,Clients!$B$6:$B$25,0)),""))</f>
        <v>125</v>
      </c>
      <c r="G16" s="73" t="n">
        <f aca="false">IF(AND(ISNUMBER(D16),ISNUMBER(F16)),D16*F16,"")</f>
        <v>781.25</v>
      </c>
      <c r="H16" s="51" t="s">
        <v>247</v>
      </c>
      <c r="I16" s="51"/>
    </row>
    <row r="17" customFormat="false" ht="15" hidden="false" customHeight="false" outlineLevel="0" collapsed="false">
      <c r="A17" s="65" t="n">
        <v>46031</v>
      </c>
      <c r="B17" s="51" t="s">
        <v>216</v>
      </c>
      <c r="C17" s="51" t="s">
        <v>253</v>
      </c>
      <c r="D17" s="72" t="n">
        <v>2.5</v>
      </c>
      <c r="E17" s="51" t="s">
        <v>247</v>
      </c>
      <c r="F17" s="35" t="n">
        <f aca="false">IF(OR(B17="",E17&lt;&gt;"Yes"),"",IFERROR(INDEX(Clients!$F$6:$F$25,MATCH(B17,Clients!$B$6:$B$25,0)),""))</f>
        <v>100</v>
      </c>
      <c r="G17" s="73" t="n">
        <f aca="false">IF(AND(ISNUMBER(D17),ISNUMBER(F17)),D17*F17,"")</f>
        <v>250</v>
      </c>
      <c r="H17" s="51" t="s">
        <v>247</v>
      </c>
      <c r="I17" s="51"/>
    </row>
    <row r="18" customFormat="false" ht="15" hidden="false" customHeight="false" outlineLevel="0" collapsed="false">
      <c r="A18" s="65" t="n">
        <v>46038</v>
      </c>
      <c r="B18" s="51" t="s">
        <v>213</v>
      </c>
      <c r="C18" s="51" t="s">
        <v>256</v>
      </c>
      <c r="D18" s="72" t="n">
        <v>2.75</v>
      </c>
      <c r="E18" s="51" t="s">
        <v>247</v>
      </c>
      <c r="F18" s="35" t="n">
        <f aca="false">IF(OR(B18="",E18&lt;&gt;"Yes"),"",IFERROR(INDEX(Clients!$F$6:$F$25,MATCH(B18,Clients!$B$6:$B$25,0)),""))</f>
        <v>135</v>
      </c>
      <c r="G18" s="73" t="n">
        <f aca="false">IF(AND(ISNUMBER(D18),ISNUMBER(F18)),D18*F18,"")</f>
        <v>371.25</v>
      </c>
      <c r="H18" s="51" t="s">
        <v>247</v>
      </c>
      <c r="I18" s="51"/>
    </row>
    <row r="19" customFormat="false" ht="15" hidden="false" customHeight="false" outlineLevel="0" collapsed="false">
      <c r="A19" s="65" t="n">
        <v>46038</v>
      </c>
      <c r="B19" s="51" t="s">
        <v>204</v>
      </c>
      <c r="C19" s="51" t="s">
        <v>257</v>
      </c>
      <c r="D19" s="72" t="n">
        <v>6.75</v>
      </c>
      <c r="E19" s="51" t="s">
        <v>247</v>
      </c>
      <c r="F19" s="35" t="n">
        <f aca="false">IF(OR(B19="",E19&lt;&gt;"Yes"),"",IFERROR(INDEX(Clients!$F$6:$F$25,MATCH(B19,Clients!$B$6:$B$25,0)),""))</f>
        <v>135</v>
      </c>
      <c r="G19" s="73" t="n">
        <f aca="false">IF(AND(ISNUMBER(D19),ISNUMBER(F19)),D19*F19,"")</f>
        <v>911.25</v>
      </c>
      <c r="H19" s="51" t="s">
        <v>247</v>
      </c>
      <c r="I19" s="51"/>
    </row>
    <row r="20" customFormat="false" ht="15" hidden="false" customHeight="false" outlineLevel="0" collapsed="false">
      <c r="A20" s="65" t="n">
        <v>46038</v>
      </c>
      <c r="B20" s="51" t="s">
        <v>117</v>
      </c>
      <c r="C20" s="51" t="s">
        <v>249</v>
      </c>
      <c r="D20" s="72" t="n">
        <v>4.5</v>
      </c>
      <c r="E20" s="51" t="s">
        <v>250</v>
      </c>
      <c r="F20" s="35" t="str">
        <f aca="false">IF(OR(B20="",E20&lt;&gt;"Yes"),"",IFERROR(INDEX(Clients!$F$6:$F$25,MATCH(B20,Clients!$B$6:$B$25,0)),""))</f>
        <v/>
      </c>
      <c r="G20" s="73" t="str">
        <f aca="false">IF(AND(ISNUMBER(D20),ISNUMBER(F20)),D20*F20,"")</f>
        <v/>
      </c>
      <c r="H20" s="51" t="s">
        <v>250</v>
      </c>
      <c r="I20" s="51"/>
    </row>
    <row r="21" customFormat="false" ht="15" hidden="false" customHeight="false" outlineLevel="0" collapsed="false">
      <c r="A21" s="65" t="n">
        <v>46038</v>
      </c>
      <c r="B21" s="51" t="s">
        <v>117</v>
      </c>
      <c r="C21" s="51" t="s">
        <v>251</v>
      </c>
      <c r="D21" s="72" t="n">
        <v>1.75</v>
      </c>
      <c r="E21" s="51" t="s">
        <v>250</v>
      </c>
      <c r="F21" s="35" t="str">
        <f aca="false">IF(OR(B21="",E21&lt;&gt;"Yes"),"",IFERROR(INDEX(Clients!$F$6:$F$25,MATCH(B21,Clients!$B$6:$B$25,0)),""))</f>
        <v/>
      </c>
      <c r="G21" s="73" t="str">
        <f aca="false">IF(AND(ISNUMBER(D21),ISNUMBER(F21)),D21*F21,"")</f>
        <v/>
      </c>
      <c r="H21" s="51" t="s">
        <v>250</v>
      </c>
      <c r="I21" s="51"/>
    </row>
    <row r="22" customFormat="false" ht="15" hidden="false" customHeight="false" outlineLevel="0" collapsed="false">
      <c r="A22" s="65" t="n">
        <v>46038</v>
      </c>
      <c r="B22" s="51" t="s">
        <v>207</v>
      </c>
      <c r="C22" s="51" t="s">
        <v>252</v>
      </c>
      <c r="D22" s="72" t="n">
        <v>5.75</v>
      </c>
      <c r="E22" s="51" t="s">
        <v>247</v>
      </c>
      <c r="F22" s="35" t="n">
        <f aca="false">IF(OR(B22="",E22&lt;&gt;"Yes"),"",IFERROR(INDEX(Clients!$F$6:$F$25,MATCH(B22,Clients!$B$6:$B$25,0)),""))</f>
        <v>125</v>
      </c>
      <c r="G22" s="73" t="n">
        <f aca="false">IF(AND(ISNUMBER(D22),ISNUMBER(F22)),D22*F22,"")</f>
        <v>718.75</v>
      </c>
      <c r="H22" s="51" t="s">
        <v>247</v>
      </c>
      <c r="I22" s="51"/>
    </row>
    <row r="23" customFormat="false" ht="15" hidden="false" customHeight="false" outlineLevel="0" collapsed="false">
      <c r="A23" s="65" t="n">
        <v>46038</v>
      </c>
      <c r="B23" s="51" t="s">
        <v>216</v>
      </c>
      <c r="C23" s="51" t="s">
        <v>253</v>
      </c>
      <c r="D23" s="72" t="n">
        <v>2.75</v>
      </c>
      <c r="E23" s="51" t="s">
        <v>247</v>
      </c>
      <c r="F23" s="35" t="n">
        <f aca="false">IF(OR(B23="",E23&lt;&gt;"Yes"),"",IFERROR(INDEX(Clients!$F$6:$F$25,MATCH(B23,Clients!$B$6:$B$25,0)),""))</f>
        <v>100</v>
      </c>
      <c r="G23" s="73" t="n">
        <f aca="false">IF(AND(ISNUMBER(D23),ISNUMBER(F23)),D23*F23,"")</f>
        <v>275</v>
      </c>
      <c r="H23" s="51" t="s">
        <v>247</v>
      </c>
      <c r="I23" s="51"/>
    </row>
    <row r="24" customFormat="false" ht="15" hidden="false" customHeight="false" outlineLevel="0" collapsed="false">
      <c r="A24" s="65" t="n">
        <v>46045</v>
      </c>
      <c r="B24" s="51" t="s">
        <v>213</v>
      </c>
      <c r="C24" s="51" t="s">
        <v>254</v>
      </c>
      <c r="D24" s="72" t="n">
        <v>5.25</v>
      </c>
      <c r="E24" s="51" t="s">
        <v>247</v>
      </c>
      <c r="F24" s="35" t="n">
        <f aca="false">IF(OR(B24="",E24&lt;&gt;"Yes"),"",IFERROR(INDEX(Clients!$F$6:$F$25,MATCH(B24,Clients!$B$6:$B$25,0)),""))</f>
        <v>135</v>
      </c>
      <c r="G24" s="73" t="n">
        <f aca="false">IF(AND(ISNUMBER(D24),ISNUMBER(F24)),D24*F24,"")</f>
        <v>708.75</v>
      </c>
      <c r="H24" s="51" t="s">
        <v>247</v>
      </c>
      <c r="I24" s="51"/>
    </row>
    <row r="25" customFormat="false" ht="15" hidden="false" customHeight="false" outlineLevel="0" collapsed="false">
      <c r="A25" s="65" t="n">
        <v>46045</v>
      </c>
      <c r="B25" s="51" t="s">
        <v>204</v>
      </c>
      <c r="C25" s="51" t="s">
        <v>248</v>
      </c>
      <c r="D25" s="72" t="n">
        <v>5.25</v>
      </c>
      <c r="E25" s="51" t="s">
        <v>247</v>
      </c>
      <c r="F25" s="35" t="n">
        <f aca="false">IF(OR(B25="",E25&lt;&gt;"Yes"),"",IFERROR(INDEX(Clients!$F$6:$F$25,MATCH(B25,Clients!$B$6:$B$25,0)),""))</f>
        <v>135</v>
      </c>
      <c r="G25" s="73" t="n">
        <f aca="false">IF(AND(ISNUMBER(D25),ISNUMBER(F25)),D25*F25,"")</f>
        <v>708.75</v>
      </c>
      <c r="H25" s="51" t="s">
        <v>247</v>
      </c>
      <c r="I25" s="51"/>
    </row>
    <row r="26" customFormat="false" ht="15" hidden="false" customHeight="false" outlineLevel="0" collapsed="false">
      <c r="A26" s="65" t="n">
        <v>46045</v>
      </c>
      <c r="B26" s="51" t="s">
        <v>117</v>
      </c>
      <c r="C26" s="51" t="s">
        <v>249</v>
      </c>
      <c r="D26" s="72" t="n">
        <v>4.25</v>
      </c>
      <c r="E26" s="51" t="s">
        <v>250</v>
      </c>
      <c r="F26" s="35" t="str">
        <f aca="false">IF(OR(B26="",E26&lt;&gt;"Yes"),"",IFERROR(INDEX(Clients!$F$6:$F$25,MATCH(B26,Clients!$B$6:$B$25,0)),""))</f>
        <v/>
      </c>
      <c r="G26" s="73" t="str">
        <f aca="false">IF(AND(ISNUMBER(D26),ISNUMBER(F26)),D26*F26,"")</f>
        <v/>
      </c>
      <c r="H26" s="51" t="s">
        <v>250</v>
      </c>
      <c r="I26" s="51"/>
    </row>
    <row r="27" customFormat="false" ht="15" hidden="false" customHeight="false" outlineLevel="0" collapsed="false">
      <c r="A27" s="65" t="n">
        <v>46045</v>
      </c>
      <c r="B27" s="51" t="s">
        <v>117</v>
      </c>
      <c r="C27" s="51" t="s">
        <v>251</v>
      </c>
      <c r="D27" s="72" t="n">
        <v>2.25</v>
      </c>
      <c r="E27" s="51" t="s">
        <v>250</v>
      </c>
      <c r="F27" s="35" t="str">
        <f aca="false">IF(OR(B27="",E27&lt;&gt;"Yes"),"",IFERROR(INDEX(Clients!$F$6:$F$25,MATCH(B27,Clients!$B$6:$B$25,0)),""))</f>
        <v/>
      </c>
      <c r="G27" s="73" t="str">
        <f aca="false">IF(AND(ISNUMBER(D27),ISNUMBER(F27)),D27*F27,"")</f>
        <v/>
      </c>
      <c r="H27" s="51" t="s">
        <v>250</v>
      </c>
      <c r="I27" s="51"/>
    </row>
    <row r="28" customFormat="false" ht="15" hidden="false" customHeight="false" outlineLevel="0" collapsed="false">
      <c r="A28" s="65" t="n">
        <v>46045</v>
      </c>
      <c r="B28" s="51" t="s">
        <v>207</v>
      </c>
      <c r="C28" s="51" t="s">
        <v>255</v>
      </c>
      <c r="D28" s="72" t="n">
        <v>4.75</v>
      </c>
      <c r="E28" s="51" t="s">
        <v>247</v>
      </c>
      <c r="F28" s="35" t="n">
        <f aca="false">IF(OR(B28="",E28&lt;&gt;"Yes"),"",IFERROR(INDEX(Clients!$F$6:$F$25,MATCH(B28,Clients!$B$6:$B$25,0)),""))</f>
        <v>125</v>
      </c>
      <c r="G28" s="73" t="n">
        <f aca="false">IF(AND(ISNUMBER(D28),ISNUMBER(F28)),D28*F28,"")</f>
        <v>593.75</v>
      </c>
      <c r="H28" s="51" t="s">
        <v>247</v>
      </c>
      <c r="I28" s="51"/>
    </row>
    <row r="29" customFormat="false" ht="15" hidden="false" customHeight="false" outlineLevel="0" collapsed="false">
      <c r="A29" s="65" t="n">
        <v>46045</v>
      </c>
      <c r="B29" s="51" t="s">
        <v>216</v>
      </c>
      <c r="C29" s="51" t="s">
        <v>258</v>
      </c>
      <c r="D29" s="72" t="n">
        <v>2</v>
      </c>
      <c r="E29" s="51" t="s">
        <v>247</v>
      </c>
      <c r="F29" s="35" t="n">
        <f aca="false">IF(OR(B29="",E29&lt;&gt;"Yes"),"",IFERROR(INDEX(Clients!$F$6:$F$25,MATCH(B29,Clients!$B$6:$B$25,0)),""))</f>
        <v>100</v>
      </c>
      <c r="G29" s="73" t="n">
        <f aca="false">IF(AND(ISNUMBER(D29),ISNUMBER(F29)),D29*F29,"")</f>
        <v>200</v>
      </c>
      <c r="H29" s="51" t="s">
        <v>247</v>
      </c>
      <c r="I29" s="51"/>
    </row>
    <row r="30" customFormat="false" ht="15" hidden="false" customHeight="false" outlineLevel="0" collapsed="false">
      <c r="A30" s="65" t="n">
        <v>46052</v>
      </c>
      <c r="B30" s="51" t="s">
        <v>213</v>
      </c>
      <c r="C30" s="51" t="s">
        <v>254</v>
      </c>
      <c r="D30" s="72" t="n">
        <v>4.5</v>
      </c>
      <c r="E30" s="51" t="s">
        <v>247</v>
      </c>
      <c r="F30" s="35" t="n">
        <f aca="false">IF(OR(B30="",E30&lt;&gt;"Yes"),"",IFERROR(INDEX(Clients!$F$6:$F$25,MATCH(B30,Clients!$B$6:$B$25,0)),""))</f>
        <v>135</v>
      </c>
      <c r="G30" s="73" t="n">
        <f aca="false">IF(AND(ISNUMBER(D30),ISNUMBER(F30)),D30*F30,"")</f>
        <v>607.5</v>
      </c>
      <c r="H30" s="51" t="s">
        <v>247</v>
      </c>
      <c r="I30" s="51"/>
    </row>
    <row r="31" customFormat="false" ht="15" hidden="false" customHeight="false" outlineLevel="0" collapsed="false">
      <c r="A31" s="65" t="n">
        <v>46052</v>
      </c>
      <c r="B31" s="51" t="s">
        <v>204</v>
      </c>
      <c r="C31" s="51" t="s">
        <v>248</v>
      </c>
      <c r="D31" s="72" t="n">
        <v>3.5</v>
      </c>
      <c r="E31" s="51" t="s">
        <v>247</v>
      </c>
      <c r="F31" s="35" t="n">
        <f aca="false">IF(OR(B31="",E31&lt;&gt;"Yes"),"",IFERROR(INDEX(Clients!$F$6:$F$25,MATCH(B31,Clients!$B$6:$B$25,0)),""))</f>
        <v>135</v>
      </c>
      <c r="G31" s="73" t="n">
        <f aca="false">IF(AND(ISNUMBER(D31),ISNUMBER(F31)),D31*F31,"")</f>
        <v>472.5</v>
      </c>
      <c r="H31" s="51" t="s">
        <v>247</v>
      </c>
      <c r="I31" s="51"/>
    </row>
    <row r="32" customFormat="false" ht="15" hidden="false" customHeight="false" outlineLevel="0" collapsed="false">
      <c r="A32" s="65" t="n">
        <v>46052</v>
      </c>
      <c r="B32" s="51" t="s">
        <v>117</v>
      </c>
      <c r="C32" s="51" t="s">
        <v>249</v>
      </c>
      <c r="D32" s="72" t="n">
        <v>4.25</v>
      </c>
      <c r="E32" s="51" t="s">
        <v>250</v>
      </c>
      <c r="F32" s="35" t="str">
        <f aca="false">IF(OR(B32="",E32&lt;&gt;"Yes"),"",IFERROR(INDEX(Clients!$F$6:$F$25,MATCH(B32,Clients!$B$6:$B$25,0)),""))</f>
        <v/>
      </c>
      <c r="G32" s="73" t="str">
        <f aca="false">IF(AND(ISNUMBER(D32),ISNUMBER(F32)),D32*F32,"")</f>
        <v/>
      </c>
      <c r="H32" s="51" t="s">
        <v>250</v>
      </c>
      <c r="I32" s="51"/>
    </row>
    <row r="33" customFormat="false" ht="15" hidden="false" customHeight="false" outlineLevel="0" collapsed="false">
      <c r="A33" s="65" t="n">
        <v>46052</v>
      </c>
      <c r="B33" s="51" t="s">
        <v>117</v>
      </c>
      <c r="C33" s="51" t="s">
        <v>251</v>
      </c>
      <c r="D33" s="72" t="n">
        <v>2</v>
      </c>
      <c r="E33" s="51" t="s">
        <v>250</v>
      </c>
      <c r="F33" s="35" t="str">
        <f aca="false">IF(OR(B33="",E33&lt;&gt;"Yes"),"",IFERROR(INDEX(Clients!$F$6:$F$25,MATCH(B33,Clients!$B$6:$B$25,0)),""))</f>
        <v/>
      </c>
      <c r="G33" s="73" t="str">
        <f aca="false">IF(AND(ISNUMBER(D33),ISNUMBER(F33)),D33*F33,"")</f>
        <v/>
      </c>
      <c r="H33" s="51" t="s">
        <v>250</v>
      </c>
      <c r="I33" s="51"/>
    </row>
    <row r="34" customFormat="false" ht="15" hidden="false" customHeight="false" outlineLevel="0" collapsed="false">
      <c r="A34" s="65" t="n">
        <v>46052</v>
      </c>
      <c r="B34" s="51" t="s">
        <v>207</v>
      </c>
      <c r="C34" s="51" t="s">
        <v>259</v>
      </c>
      <c r="D34" s="72" t="n">
        <v>6</v>
      </c>
      <c r="E34" s="51" t="s">
        <v>247</v>
      </c>
      <c r="F34" s="35" t="n">
        <f aca="false">IF(OR(B34="",E34&lt;&gt;"Yes"),"",IFERROR(INDEX(Clients!$F$6:$F$25,MATCH(B34,Clients!$B$6:$B$25,0)),""))</f>
        <v>125</v>
      </c>
      <c r="G34" s="73" t="n">
        <f aca="false">IF(AND(ISNUMBER(D34),ISNUMBER(F34)),D34*F34,"")</f>
        <v>750</v>
      </c>
      <c r="H34" s="51" t="s">
        <v>247</v>
      </c>
      <c r="I34" s="51"/>
    </row>
    <row r="35" customFormat="false" ht="15" hidden="false" customHeight="false" outlineLevel="0" collapsed="false">
      <c r="A35" s="65" t="n">
        <v>46052</v>
      </c>
      <c r="B35" s="51" t="s">
        <v>216</v>
      </c>
      <c r="C35" s="51" t="s">
        <v>258</v>
      </c>
      <c r="D35" s="72" t="n">
        <v>1.75</v>
      </c>
      <c r="E35" s="51" t="s">
        <v>247</v>
      </c>
      <c r="F35" s="35" t="n">
        <f aca="false">IF(OR(B35="",E35&lt;&gt;"Yes"),"",IFERROR(INDEX(Clients!$F$6:$F$25,MATCH(B35,Clients!$B$6:$B$25,0)),""))</f>
        <v>100</v>
      </c>
      <c r="G35" s="73" t="n">
        <f aca="false">IF(AND(ISNUMBER(D35),ISNUMBER(F35)),D35*F35,"")</f>
        <v>175</v>
      </c>
      <c r="H35" s="51" t="s">
        <v>247</v>
      </c>
      <c r="I35" s="51"/>
    </row>
    <row r="36" customFormat="false" ht="15" hidden="false" customHeight="false" outlineLevel="0" collapsed="false">
      <c r="A36" s="65" t="n">
        <v>46059</v>
      </c>
      <c r="B36" s="51" t="s">
        <v>213</v>
      </c>
      <c r="C36" s="51" t="s">
        <v>246</v>
      </c>
      <c r="D36" s="72" t="n">
        <v>3.5</v>
      </c>
      <c r="E36" s="51" t="s">
        <v>247</v>
      </c>
      <c r="F36" s="35" t="n">
        <f aca="false">IF(OR(B36="",E36&lt;&gt;"Yes"),"",IFERROR(INDEX(Clients!$F$6:$F$25,MATCH(B36,Clients!$B$6:$B$25,0)),""))</f>
        <v>135</v>
      </c>
      <c r="G36" s="73" t="n">
        <f aca="false">IF(AND(ISNUMBER(D36),ISNUMBER(F36)),D36*F36,"")</f>
        <v>472.5</v>
      </c>
      <c r="H36" s="51" t="s">
        <v>247</v>
      </c>
      <c r="I36" s="51"/>
    </row>
    <row r="37" customFormat="false" ht="15" hidden="false" customHeight="false" outlineLevel="0" collapsed="false">
      <c r="A37" s="65" t="n">
        <v>46059</v>
      </c>
      <c r="B37" s="51" t="s">
        <v>204</v>
      </c>
      <c r="C37" s="51" t="s">
        <v>248</v>
      </c>
      <c r="D37" s="72" t="n">
        <v>6.5</v>
      </c>
      <c r="E37" s="51" t="s">
        <v>247</v>
      </c>
      <c r="F37" s="35" t="n">
        <f aca="false">IF(OR(B37="",E37&lt;&gt;"Yes"),"",IFERROR(INDEX(Clients!$F$6:$F$25,MATCH(B37,Clients!$B$6:$B$25,0)),""))</f>
        <v>135</v>
      </c>
      <c r="G37" s="73" t="n">
        <f aca="false">IF(AND(ISNUMBER(D37),ISNUMBER(F37)),D37*F37,"")</f>
        <v>877.5</v>
      </c>
      <c r="H37" s="51" t="s">
        <v>247</v>
      </c>
      <c r="I37" s="51"/>
    </row>
    <row r="38" customFormat="false" ht="15" hidden="false" customHeight="false" outlineLevel="0" collapsed="false">
      <c r="A38" s="65" t="n">
        <v>46059</v>
      </c>
      <c r="B38" s="51" t="s">
        <v>117</v>
      </c>
      <c r="C38" s="51" t="s">
        <v>249</v>
      </c>
      <c r="D38" s="72" t="n">
        <v>4.25</v>
      </c>
      <c r="E38" s="51" t="s">
        <v>250</v>
      </c>
      <c r="F38" s="35" t="str">
        <f aca="false">IF(OR(B38="",E38&lt;&gt;"Yes"),"",IFERROR(INDEX(Clients!$F$6:$F$25,MATCH(B38,Clients!$B$6:$B$25,0)),""))</f>
        <v/>
      </c>
      <c r="G38" s="73" t="str">
        <f aca="false">IF(AND(ISNUMBER(D38),ISNUMBER(F38)),D38*F38,"")</f>
        <v/>
      </c>
      <c r="H38" s="51" t="s">
        <v>250</v>
      </c>
      <c r="I38" s="51"/>
    </row>
    <row r="39" customFormat="false" ht="15" hidden="false" customHeight="false" outlineLevel="0" collapsed="false">
      <c r="A39" s="65" t="n">
        <v>46059</v>
      </c>
      <c r="B39" s="51" t="s">
        <v>117</v>
      </c>
      <c r="C39" s="51" t="s">
        <v>251</v>
      </c>
      <c r="D39" s="72" t="n">
        <v>1.75</v>
      </c>
      <c r="E39" s="51" t="s">
        <v>250</v>
      </c>
      <c r="F39" s="35" t="str">
        <f aca="false">IF(OR(B39="",E39&lt;&gt;"Yes"),"",IFERROR(INDEX(Clients!$F$6:$F$25,MATCH(B39,Clients!$B$6:$B$25,0)),""))</f>
        <v/>
      </c>
      <c r="G39" s="73" t="str">
        <f aca="false">IF(AND(ISNUMBER(D39),ISNUMBER(F39)),D39*F39,"")</f>
        <v/>
      </c>
      <c r="H39" s="51" t="s">
        <v>250</v>
      </c>
      <c r="I39" s="51"/>
    </row>
    <row r="40" customFormat="false" ht="15" hidden="false" customHeight="false" outlineLevel="0" collapsed="false">
      <c r="A40" s="65" t="n">
        <v>46059</v>
      </c>
      <c r="B40" s="51" t="s">
        <v>210</v>
      </c>
      <c r="C40" s="51" t="s">
        <v>260</v>
      </c>
      <c r="D40" s="72" t="n">
        <v>2.25</v>
      </c>
      <c r="E40" s="51" t="s">
        <v>247</v>
      </c>
      <c r="F40" s="35" t="n">
        <f aca="false">IF(OR(B40="",E40&lt;&gt;"Yes"),"",IFERROR(INDEX(Clients!$F$6:$F$25,MATCH(B40,Clients!$B$6:$B$25,0)),""))</f>
        <v>135</v>
      </c>
      <c r="G40" s="73" t="n">
        <f aca="false">IF(AND(ISNUMBER(D40),ISNUMBER(F40)),D40*F40,"")</f>
        <v>303.75</v>
      </c>
      <c r="H40" s="51" t="s">
        <v>247</v>
      </c>
      <c r="I40" s="51"/>
    </row>
    <row r="41" customFormat="false" ht="15" hidden="false" customHeight="false" outlineLevel="0" collapsed="false">
      <c r="A41" s="65" t="n">
        <v>46059</v>
      </c>
      <c r="B41" s="51" t="s">
        <v>207</v>
      </c>
      <c r="C41" s="51" t="s">
        <v>255</v>
      </c>
      <c r="D41" s="72" t="n">
        <v>5.5</v>
      </c>
      <c r="E41" s="51" t="s">
        <v>247</v>
      </c>
      <c r="F41" s="35" t="n">
        <f aca="false">IF(OR(B41="",E41&lt;&gt;"Yes"),"",IFERROR(INDEX(Clients!$F$6:$F$25,MATCH(B41,Clients!$B$6:$B$25,0)),""))</f>
        <v>125</v>
      </c>
      <c r="G41" s="73" t="n">
        <f aca="false">IF(AND(ISNUMBER(D41),ISNUMBER(F41)),D41*F41,"")</f>
        <v>687.5</v>
      </c>
      <c r="H41" s="51" t="s">
        <v>247</v>
      </c>
      <c r="I41" s="51"/>
    </row>
    <row r="42" customFormat="false" ht="15" hidden="false" customHeight="false" outlineLevel="0" collapsed="false">
      <c r="A42" s="65" t="n">
        <v>46059</v>
      </c>
      <c r="B42" s="51" t="s">
        <v>216</v>
      </c>
      <c r="C42" s="51" t="s">
        <v>253</v>
      </c>
      <c r="D42" s="72" t="n">
        <v>2.25</v>
      </c>
      <c r="E42" s="51" t="s">
        <v>247</v>
      </c>
      <c r="F42" s="35" t="n">
        <f aca="false">IF(OR(B42="",E42&lt;&gt;"Yes"),"",IFERROR(INDEX(Clients!$F$6:$F$25,MATCH(B42,Clients!$B$6:$B$25,0)),""))</f>
        <v>100</v>
      </c>
      <c r="G42" s="73" t="n">
        <f aca="false">IF(AND(ISNUMBER(D42),ISNUMBER(F42)),D42*F42,"")</f>
        <v>225</v>
      </c>
      <c r="H42" s="51" t="s">
        <v>247</v>
      </c>
      <c r="I42" s="51"/>
    </row>
    <row r="43" customFormat="false" ht="15" hidden="false" customHeight="false" outlineLevel="0" collapsed="false">
      <c r="A43" s="65" t="n">
        <v>46066</v>
      </c>
      <c r="B43" s="51" t="s">
        <v>213</v>
      </c>
      <c r="C43" s="51" t="s">
        <v>256</v>
      </c>
      <c r="D43" s="72" t="n">
        <v>3.75</v>
      </c>
      <c r="E43" s="51" t="s">
        <v>247</v>
      </c>
      <c r="F43" s="35" t="n">
        <f aca="false">IF(OR(B43="",E43&lt;&gt;"Yes"),"",IFERROR(INDEX(Clients!$F$6:$F$25,MATCH(B43,Clients!$B$6:$B$25,0)),""))</f>
        <v>135</v>
      </c>
      <c r="G43" s="73" t="n">
        <f aca="false">IF(AND(ISNUMBER(D43),ISNUMBER(F43)),D43*F43,"")</f>
        <v>506.25</v>
      </c>
      <c r="H43" s="51" t="s">
        <v>247</v>
      </c>
      <c r="I43" s="51"/>
    </row>
    <row r="44" customFormat="false" ht="15" hidden="false" customHeight="false" outlineLevel="0" collapsed="false">
      <c r="A44" s="65" t="n">
        <v>46066</v>
      </c>
      <c r="B44" s="51" t="s">
        <v>204</v>
      </c>
      <c r="C44" s="51" t="s">
        <v>257</v>
      </c>
      <c r="D44" s="72" t="n">
        <v>8</v>
      </c>
      <c r="E44" s="51" t="s">
        <v>247</v>
      </c>
      <c r="F44" s="35" t="n">
        <f aca="false">IF(OR(B44="",E44&lt;&gt;"Yes"),"",IFERROR(INDEX(Clients!$F$6:$F$25,MATCH(B44,Clients!$B$6:$B$25,0)),""))</f>
        <v>135</v>
      </c>
      <c r="G44" s="73" t="n">
        <f aca="false">IF(AND(ISNUMBER(D44),ISNUMBER(F44)),D44*F44,"")</f>
        <v>1080</v>
      </c>
      <c r="H44" s="51" t="s">
        <v>247</v>
      </c>
      <c r="I44" s="51"/>
    </row>
    <row r="45" customFormat="false" ht="15" hidden="false" customHeight="false" outlineLevel="0" collapsed="false">
      <c r="A45" s="65" t="n">
        <v>46066</v>
      </c>
      <c r="B45" s="51" t="s">
        <v>117</v>
      </c>
      <c r="C45" s="51" t="s">
        <v>249</v>
      </c>
      <c r="D45" s="72" t="n">
        <v>4.25</v>
      </c>
      <c r="E45" s="51" t="s">
        <v>250</v>
      </c>
      <c r="F45" s="35" t="str">
        <f aca="false">IF(OR(B45="",E45&lt;&gt;"Yes"),"",IFERROR(INDEX(Clients!$F$6:$F$25,MATCH(B45,Clients!$B$6:$B$25,0)),""))</f>
        <v/>
      </c>
      <c r="G45" s="73" t="str">
        <f aca="false">IF(AND(ISNUMBER(D45),ISNUMBER(F45)),D45*F45,"")</f>
        <v/>
      </c>
      <c r="H45" s="51" t="s">
        <v>250</v>
      </c>
      <c r="I45" s="51"/>
    </row>
    <row r="46" customFormat="false" ht="15" hidden="false" customHeight="false" outlineLevel="0" collapsed="false">
      <c r="A46" s="65" t="n">
        <v>46066</v>
      </c>
      <c r="B46" s="51" t="s">
        <v>117</v>
      </c>
      <c r="C46" s="51" t="s">
        <v>251</v>
      </c>
      <c r="D46" s="72" t="n">
        <v>2.5</v>
      </c>
      <c r="E46" s="51" t="s">
        <v>250</v>
      </c>
      <c r="F46" s="35" t="str">
        <f aca="false">IF(OR(B46="",E46&lt;&gt;"Yes"),"",IFERROR(INDEX(Clients!$F$6:$F$25,MATCH(B46,Clients!$B$6:$B$25,0)),""))</f>
        <v/>
      </c>
      <c r="G46" s="73" t="str">
        <f aca="false">IF(AND(ISNUMBER(D46),ISNUMBER(F46)),D46*F46,"")</f>
        <v/>
      </c>
      <c r="H46" s="51" t="s">
        <v>250</v>
      </c>
      <c r="I46" s="51"/>
    </row>
    <row r="47" customFormat="false" ht="15" hidden="false" customHeight="false" outlineLevel="0" collapsed="false">
      <c r="A47" s="65" t="n">
        <v>46066</v>
      </c>
      <c r="B47" s="51" t="s">
        <v>210</v>
      </c>
      <c r="C47" s="51" t="s">
        <v>261</v>
      </c>
      <c r="D47" s="72" t="n">
        <v>1.75</v>
      </c>
      <c r="E47" s="51" t="s">
        <v>247</v>
      </c>
      <c r="F47" s="35" t="n">
        <f aca="false">IF(OR(B47="",E47&lt;&gt;"Yes"),"",IFERROR(INDEX(Clients!$F$6:$F$25,MATCH(B47,Clients!$B$6:$B$25,0)),""))</f>
        <v>135</v>
      </c>
      <c r="G47" s="73" t="n">
        <f aca="false">IF(AND(ISNUMBER(D47),ISNUMBER(F47)),D47*F47,"")</f>
        <v>236.25</v>
      </c>
      <c r="H47" s="51" t="s">
        <v>247</v>
      </c>
      <c r="I47" s="51"/>
    </row>
    <row r="48" customFormat="false" ht="15" hidden="false" customHeight="false" outlineLevel="0" collapsed="false">
      <c r="A48" s="65" t="n">
        <v>46066</v>
      </c>
      <c r="B48" s="51" t="s">
        <v>207</v>
      </c>
      <c r="C48" s="51" t="s">
        <v>255</v>
      </c>
      <c r="D48" s="72" t="n">
        <v>5.75</v>
      </c>
      <c r="E48" s="51" t="s">
        <v>247</v>
      </c>
      <c r="F48" s="35" t="n">
        <f aca="false">IF(OR(B48="",E48&lt;&gt;"Yes"),"",IFERROR(INDEX(Clients!$F$6:$F$25,MATCH(B48,Clients!$B$6:$B$25,0)),""))</f>
        <v>125</v>
      </c>
      <c r="G48" s="73" t="n">
        <f aca="false">IF(AND(ISNUMBER(D48),ISNUMBER(F48)),D48*F48,"")</f>
        <v>718.75</v>
      </c>
      <c r="H48" s="51" t="s">
        <v>247</v>
      </c>
      <c r="I48" s="51"/>
    </row>
    <row r="49" customFormat="false" ht="15" hidden="false" customHeight="false" outlineLevel="0" collapsed="false">
      <c r="A49" s="65" t="n">
        <v>46066</v>
      </c>
      <c r="B49" s="51" t="s">
        <v>216</v>
      </c>
      <c r="C49" s="51" t="s">
        <v>253</v>
      </c>
      <c r="D49" s="72" t="n">
        <v>2</v>
      </c>
      <c r="E49" s="51" t="s">
        <v>247</v>
      </c>
      <c r="F49" s="35" t="n">
        <f aca="false">IF(OR(B49="",E49&lt;&gt;"Yes"),"",IFERROR(INDEX(Clients!$F$6:$F$25,MATCH(B49,Clients!$B$6:$B$25,0)),""))</f>
        <v>100</v>
      </c>
      <c r="G49" s="73" t="n">
        <f aca="false">IF(AND(ISNUMBER(D49),ISNUMBER(F49)),D49*F49,"")</f>
        <v>200</v>
      </c>
      <c r="H49" s="51" t="s">
        <v>247</v>
      </c>
      <c r="I49" s="51"/>
    </row>
    <row r="50" customFormat="false" ht="15" hidden="false" customHeight="false" outlineLevel="0" collapsed="false">
      <c r="A50" s="65" t="n">
        <v>46073</v>
      </c>
      <c r="B50" s="51" t="s">
        <v>213</v>
      </c>
      <c r="C50" s="51" t="s">
        <v>254</v>
      </c>
      <c r="D50" s="72" t="n">
        <v>3</v>
      </c>
      <c r="E50" s="51" t="s">
        <v>247</v>
      </c>
      <c r="F50" s="35" t="n">
        <f aca="false">IF(OR(B50="",E50&lt;&gt;"Yes"),"",IFERROR(INDEX(Clients!$F$6:$F$25,MATCH(B50,Clients!$B$6:$B$25,0)),""))</f>
        <v>135</v>
      </c>
      <c r="G50" s="73" t="n">
        <f aca="false">IF(AND(ISNUMBER(D50),ISNUMBER(F50)),D50*F50,"")</f>
        <v>405</v>
      </c>
      <c r="H50" s="51" t="s">
        <v>247</v>
      </c>
      <c r="I50" s="51"/>
    </row>
    <row r="51" customFormat="false" ht="15" hidden="false" customHeight="false" outlineLevel="0" collapsed="false">
      <c r="A51" s="65" t="n">
        <v>46073</v>
      </c>
      <c r="B51" s="51" t="s">
        <v>204</v>
      </c>
      <c r="C51" s="51" t="s">
        <v>262</v>
      </c>
      <c r="D51" s="72" t="n">
        <v>5.5</v>
      </c>
      <c r="E51" s="51" t="s">
        <v>247</v>
      </c>
      <c r="F51" s="35" t="n">
        <f aca="false">IF(OR(B51="",E51&lt;&gt;"Yes"),"",IFERROR(INDEX(Clients!$F$6:$F$25,MATCH(B51,Clients!$B$6:$B$25,0)),""))</f>
        <v>135</v>
      </c>
      <c r="G51" s="73" t="n">
        <f aca="false">IF(AND(ISNUMBER(D51),ISNUMBER(F51)),D51*F51,"")</f>
        <v>742.5</v>
      </c>
      <c r="H51" s="51" t="s">
        <v>247</v>
      </c>
      <c r="I51" s="51"/>
    </row>
    <row r="52" customFormat="false" ht="15" hidden="false" customHeight="false" outlineLevel="0" collapsed="false">
      <c r="A52" s="65" t="n">
        <v>46073</v>
      </c>
      <c r="B52" s="51" t="s">
        <v>117</v>
      </c>
      <c r="C52" s="51" t="s">
        <v>249</v>
      </c>
      <c r="D52" s="72" t="n">
        <v>3.25</v>
      </c>
      <c r="E52" s="51" t="s">
        <v>250</v>
      </c>
      <c r="F52" s="35" t="str">
        <f aca="false">IF(OR(B52="",E52&lt;&gt;"Yes"),"",IFERROR(INDEX(Clients!$F$6:$F$25,MATCH(B52,Clients!$B$6:$B$25,0)),""))</f>
        <v/>
      </c>
      <c r="G52" s="73" t="str">
        <f aca="false">IF(AND(ISNUMBER(D52),ISNUMBER(F52)),D52*F52,"")</f>
        <v/>
      </c>
      <c r="H52" s="51" t="s">
        <v>250</v>
      </c>
      <c r="I52" s="51"/>
    </row>
    <row r="53" customFormat="false" ht="15" hidden="false" customHeight="false" outlineLevel="0" collapsed="false">
      <c r="A53" s="65" t="n">
        <v>46073</v>
      </c>
      <c r="B53" s="51" t="s">
        <v>117</v>
      </c>
      <c r="C53" s="51" t="s">
        <v>251</v>
      </c>
      <c r="D53" s="72" t="n">
        <v>1.5</v>
      </c>
      <c r="E53" s="51" t="s">
        <v>250</v>
      </c>
      <c r="F53" s="35" t="str">
        <f aca="false">IF(OR(B53="",E53&lt;&gt;"Yes"),"",IFERROR(INDEX(Clients!$F$6:$F$25,MATCH(B53,Clients!$B$6:$B$25,0)),""))</f>
        <v/>
      </c>
      <c r="G53" s="73" t="str">
        <f aca="false">IF(AND(ISNUMBER(D53),ISNUMBER(F53)),D53*F53,"")</f>
        <v/>
      </c>
      <c r="H53" s="51" t="s">
        <v>250</v>
      </c>
      <c r="I53" s="51"/>
    </row>
    <row r="54" customFormat="false" ht="15" hidden="false" customHeight="false" outlineLevel="0" collapsed="false">
      <c r="A54" s="65" t="n">
        <v>46073</v>
      </c>
      <c r="B54" s="51" t="s">
        <v>210</v>
      </c>
      <c r="C54" s="51" t="s">
        <v>261</v>
      </c>
      <c r="D54" s="72" t="n">
        <v>3.75</v>
      </c>
      <c r="E54" s="51" t="s">
        <v>247</v>
      </c>
      <c r="F54" s="35" t="n">
        <f aca="false">IF(OR(B54="",E54&lt;&gt;"Yes"),"",IFERROR(INDEX(Clients!$F$6:$F$25,MATCH(B54,Clients!$B$6:$B$25,0)),""))</f>
        <v>135</v>
      </c>
      <c r="G54" s="73" t="n">
        <f aca="false">IF(AND(ISNUMBER(D54),ISNUMBER(F54)),D54*F54,"")</f>
        <v>506.25</v>
      </c>
      <c r="H54" s="51" t="s">
        <v>247</v>
      </c>
      <c r="I54" s="51"/>
    </row>
    <row r="55" customFormat="false" ht="15" hidden="false" customHeight="false" outlineLevel="0" collapsed="false">
      <c r="A55" s="65" t="n">
        <v>46073</v>
      </c>
      <c r="B55" s="51" t="s">
        <v>207</v>
      </c>
      <c r="C55" s="51" t="s">
        <v>255</v>
      </c>
      <c r="D55" s="72" t="n">
        <v>4</v>
      </c>
      <c r="E55" s="51" t="s">
        <v>247</v>
      </c>
      <c r="F55" s="35" t="n">
        <f aca="false">IF(OR(B55="",E55&lt;&gt;"Yes"),"",IFERROR(INDEX(Clients!$F$6:$F$25,MATCH(B55,Clients!$B$6:$B$25,0)),""))</f>
        <v>125</v>
      </c>
      <c r="G55" s="73" t="n">
        <f aca="false">IF(AND(ISNUMBER(D55),ISNUMBER(F55)),D55*F55,"")</f>
        <v>500</v>
      </c>
      <c r="H55" s="51" t="s">
        <v>247</v>
      </c>
      <c r="I55" s="51"/>
    </row>
    <row r="56" customFormat="false" ht="15" hidden="false" customHeight="false" outlineLevel="0" collapsed="false">
      <c r="A56" s="65" t="n">
        <v>46073</v>
      </c>
      <c r="B56" s="51" t="s">
        <v>216</v>
      </c>
      <c r="C56" s="51" t="s">
        <v>253</v>
      </c>
      <c r="D56" s="72" t="n">
        <v>2</v>
      </c>
      <c r="E56" s="51" t="s">
        <v>247</v>
      </c>
      <c r="F56" s="35" t="n">
        <f aca="false">IF(OR(B56="",E56&lt;&gt;"Yes"),"",IFERROR(INDEX(Clients!$F$6:$F$25,MATCH(B56,Clients!$B$6:$B$25,0)),""))</f>
        <v>100</v>
      </c>
      <c r="G56" s="73" t="n">
        <f aca="false">IF(AND(ISNUMBER(D56),ISNUMBER(F56)),D56*F56,"")</f>
        <v>200</v>
      </c>
      <c r="H56" s="51" t="s">
        <v>247</v>
      </c>
      <c r="I56" s="51"/>
    </row>
    <row r="57" customFormat="false" ht="15" hidden="false" customHeight="false" outlineLevel="0" collapsed="false">
      <c r="A57" s="65" t="n">
        <v>46080</v>
      </c>
      <c r="B57" s="51" t="s">
        <v>213</v>
      </c>
      <c r="C57" s="51" t="s">
        <v>254</v>
      </c>
      <c r="D57" s="72" t="n">
        <v>4.5</v>
      </c>
      <c r="E57" s="51" t="s">
        <v>247</v>
      </c>
      <c r="F57" s="35" t="n">
        <f aca="false">IF(OR(B57="",E57&lt;&gt;"Yes"),"",IFERROR(INDEX(Clients!$F$6:$F$25,MATCH(B57,Clients!$B$6:$B$25,0)),""))</f>
        <v>135</v>
      </c>
      <c r="G57" s="73" t="n">
        <f aca="false">IF(AND(ISNUMBER(D57),ISNUMBER(F57)),D57*F57,"")</f>
        <v>607.5</v>
      </c>
      <c r="H57" s="51" t="s">
        <v>247</v>
      </c>
      <c r="I57" s="51"/>
    </row>
    <row r="58" customFormat="false" ht="15" hidden="false" customHeight="false" outlineLevel="0" collapsed="false">
      <c r="A58" s="65" t="n">
        <v>46080</v>
      </c>
      <c r="B58" s="51" t="s">
        <v>204</v>
      </c>
      <c r="C58" s="51" t="s">
        <v>248</v>
      </c>
      <c r="D58" s="72" t="n">
        <v>6.25</v>
      </c>
      <c r="E58" s="51" t="s">
        <v>247</v>
      </c>
      <c r="F58" s="35" t="n">
        <f aca="false">IF(OR(B58="",E58&lt;&gt;"Yes"),"",IFERROR(INDEX(Clients!$F$6:$F$25,MATCH(B58,Clients!$B$6:$B$25,0)),""))</f>
        <v>135</v>
      </c>
      <c r="G58" s="73" t="n">
        <f aca="false">IF(AND(ISNUMBER(D58),ISNUMBER(F58)),D58*F58,"")</f>
        <v>843.75</v>
      </c>
      <c r="H58" s="51" t="s">
        <v>247</v>
      </c>
      <c r="I58" s="51"/>
    </row>
    <row r="59" customFormat="false" ht="15" hidden="false" customHeight="false" outlineLevel="0" collapsed="false">
      <c r="A59" s="65" t="n">
        <v>46080</v>
      </c>
      <c r="B59" s="51" t="s">
        <v>117</v>
      </c>
      <c r="C59" s="51" t="s">
        <v>249</v>
      </c>
      <c r="D59" s="72" t="n">
        <v>4</v>
      </c>
      <c r="E59" s="51" t="s">
        <v>250</v>
      </c>
      <c r="F59" s="35" t="str">
        <f aca="false">IF(OR(B59="",E59&lt;&gt;"Yes"),"",IFERROR(INDEX(Clients!$F$6:$F$25,MATCH(B59,Clients!$B$6:$B$25,0)),""))</f>
        <v/>
      </c>
      <c r="G59" s="73" t="str">
        <f aca="false">IF(AND(ISNUMBER(D59),ISNUMBER(F59)),D59*F59,"")</f>
        <v/>
      </c>
      <c r="H59" s="51" t="s">
        <v>250</v>
      </c>
      <c r="I59" s="51"/>
    </row>
    <row r="60" customFormat="false" ht="15" hidden="false" customHeight="false" outlineLevel="0" collapsed="false">
      <c r="A60" s="65" t="n">
        <v>46080</v>
      </c>
      <c r="B60" s="51" t="s">
        <v>117</v>
      </c>
      <c r="C60" s="51" t="s">
        <v>251</v>
      </c>
      <c r="D60" s="72" t="n">
        <v>2.25</v>
      </c>
      <c r="E60" s="51" t="s">
        <v>250</v>
      </c>
      <c r="F60" s="35" t="str">
        <f aca="false">IF(OR(B60="",E60&lt;&gt;"Yes"),"",IFERROR(INDEX(Clients!$F$6:$F$25,MATCH(B60,Clients!$B$6:$B$25,0)),""))</f>
        <v/>
      </c>
      <c r="G60" s="73" t="str">
        <f aca="false">IF(AND(ISNUMBER(D60),ISNUMBER(F60)),D60*F60,"")</f>
        <v/>
      </c>
      <c r="H60" s="51" t="s">
        <v>250</v>
      </c>
      <c r="I60" s="51"/>
    </row>
    <row r="61" customFormat="false" ht="15" hidden="false" customHeight="false" outlineLevel="0" collapsed="false">
      <c r="A61" s="65" t="n">
        <v>46080</v>
      </c>
      <c r="B61" s="51" t="s">
        <v>210</v>
      </c>
      <c r="C61" s="51" t="s">
        <v>261</v>
      </c>
      <c r="D61" s="72" t="n">
        <v>3.75</v>
      </c>
      <c r="E61" s="51" t="s">
        <v>247</v>
      </c>
      <c r="F61" s="35" t="n">
        <f aca="false">IF(OR(B61="",E61&lt;&gt;"Yes"),"",IFERROR(INDEX(Clients!$F$6:$F$25,MATCH(B61,Clients!$B$6:$B$25,0)),""))</f>
        <v>135</v>
      </c>
      <c r="G61" s="73" t="n">
        <f aca="false">IF(AND(ISNUMBER(D61),ISNUMBER(F61)),D61*F61,"")</f>
        <v>506.25</v>
      </c>
      <c r="H61" s="51" t="s">
        <v>247</v>
      </c>
      <c r="I61" s="51"/>
    </row>
    <row r="62" customFormat="false" ht="15" hidden="false" customHeight="false" outlineLevel="0" collapsed="false">
      <c r="A62" s="65" t="n">
        <v>46080</v>
      </c>
      <c r="B62" s="51" t="s">
        <v>207</v>
      </c>
      <c r="C62" s="51" t="s">
        <v>255</v>
      </c>
      <c r="D62" s="72" t="n">
        <v>6.75</v>
      </c>
      <c r="E62" s="51" t="s">
        <v>247</v>
      </c>
      <c r="F62" s="35" t="n">
        <f aca="false">IF(OR(B62="",E62&lt;&gt;"Yes"),"",IFERROR(INDEX(Clients!$F$6:$F$25,MATCH(B62,Clients!$B$6:$B$25,0)),""))</f>
        <v>125</v>
      </c>
      <c r="G62" s="73" t="n">
        <f aca="false">IF(AND(ISNUMBER(D62),ISNUMBER(F62)),D62*F62,"")</f>
        <v>843.75</v>
      </c>
      <c r="H62" s="51" t="s">
        <v>247</v>
      </c>
      <c r="I62" s="51"/>
    </row>
    <row r="63" customFormat="false" ht="15" hidden="false" customHeight="false" outlineLevel="0" collapsed="false">
      <c r="A63" s="65" t="n">
        <v>46080</v>
      </c>
      <c r="B63" s="51" t="s">
        <v>216</v>
      </c>
      <c r="C63" s="51" t="s">
        <v>253</v>
      </c>
      <c r="D63" s="72" t="n">
        <v>2</v>
      </c>
      <c r="E63" s="51" t="s">
        <v>247</v>
      </c>
      <c r="F63" s="35" t="n">
        <f aca="false">IF(OR(B63="",E63&lt;&gt;"Yes"),"",IFERROR(INDEX(Clients!$F$6:$F$25,MATCH(B63,Clients!$B$6:$B$25,0)),""))</f>
        <v>100</v>
      </c>
      <c r="G63" s="73" t="n">
        <f aca="false">IF(AND(ISNUMBER(D63),ISNUMBER(F63)),D63*F63,"")</f>
        <v>200</v>
      </c>
      <c r="H63" s="51" t="s">
        <v>247</v>
      </c>
      <c r="I63" s="51"/>
    </row>
    <row r="64" customFormat="false" ht="15" hidden="false" customHeight="false" outlineLevel="0" collapsed="false">
      <c r="A64" s="65" t="n">
        <v>46087</v>
      </c>
      <c r="B64" s="51" t="s">
        <v>213</v>
      </c>
      <c r="C64" s="51" t="s">
        <v>254</v>
      </c>
      <c r="D64" s="72" t="n">
        <v>6</v>
      </c>
      <c r="E64" s="51" t="s">
        <v>247</v>
      </c>
      <c r="F64" s="35" t="n">
        <f aca="false">IF(OR(B64="",E64&lt;&gt;"Yes"),"",IFERROR(INDEX(Clients!$F$6:$F$25,MATCH(B64,Clients!$B$6:$B$25,0)),""))</f>
        <v>135</v>
      </c>
      <c r="G64" s="73" t="n">
        <f aca="false">IF(AND(ISNUMBER(D64),ISNUMBER(F64)),D64*F64,"")</f>
        <v>810</v>
      </c>
      <c r="H64" s="51" t="s">
        <v>247</v>
      </c>
      <c r="I64" s="51"/>
    </row>
    <row r="65" customFormat="false" ht="15" hidden="false" customHeight="false" outlineLevel="0" collapsed="false">
      <c r="A65" s="65" t="n">
        <v>46087</v>
      </c>
      <c r="B65" s="51" t="s">
        <v>204</v>
      </c>
      <c r="C65" s="51" t="s">
        <v>248</v>
      </c>
      <c r="D65" s="72" t="n">
        <v>9.75</v>
      </c>
      <c r="E65" s="51" t="s">
        <v>247</v>
      </c>
      <c r="F65" s="35" t="n">
        <f aca="false">IF(OR(B65="",E65&lt;&gt;"Yes"),"",IFERROR(INDEX(Clients!$F$6:$F$25,MATCH(B65,Clients!$B$6:$B$25,0)),""))</f>
        <v>135</v>
      </c>
      <c r="G65" s="73" t="n">
        <f aca="false">IF(AND(ISNUMBER(D65),ISNUMBER(F65)),D65*F65,"")</f>
        <v>1316.25</v>
      </c>
      <c r="H65" s="51" t="s">
        <v>247</v>
      </c>
      <c r="I65" s="51"/>
    </row>
    <row r="66" customFormat="false" ht="15" hidden="false" customHeight="false" outlineLevel="0" collapsed="false">
      <c r="A66" s="65" t="n">
        <v>46087</v>
      </c>
      <c r="B66" s="51" t="s">
        <v>117</v>
      </c>
      <c r="C66" s="51" t="s">
        <v>249</v>
      </c>
      <c r="D66" s="72" t="n">
        <v>3</v>
      </c>
      <c r="E66" s="51" t="s">
        <v>250</v>
      </c>
      <c r="F66" s="35" t="str">
        <f aca="false">IF(OR(B66="",E66&lt;&gt;"Yes"),"",IFERROR(INDEX(Clients!$F$6:$F$25,MATCH(B66,Clients!$B$6:$B$25,0)),""))</f>
        <v/>
      </c>
      <c r="G66" s="73" t="str">
        <f aca="false">IF(AND(ISNUMBER(D66),ISNUMBER(F66)),D66*F66,"")</f>
        <v/>
      </c>
      <c r="H66" s="51" t="s">
        <v>250</v>
      </c>
      <c r="I66" s="51"/>
    </row>
    <row r="67" customFormat="false" ht="15" hidden="false" customHeight="false" outlineLevel="0" collapsed="false">
      <c r="A67" s="65" t="n">
        <v>46087</v>
      </c>
      <c r="B67" s="51" t="s">
        <v>117</v>
      </c>
      <c r="C67" s="51" t="s">
        <v>251</v>
      </c>
      <c r="D67" s="72" t="n">
        <v>2.5</v>
      </c>
      <c r="E67" s="51" t="s">
        <v>250</v>
      </c>
      <c r="F67" s="35" t="str">
        <f aca="false">IF(OR(B67="",E67&lt;&gt;"Yes"),"",IFERROR(INDEX(Clients!$F$6:$F$25,MATCH(B67,Clients!$B$6:$B$25,0)),""))</f>
        <v/>
      </c>
      <c r="G67" s="73" t="str">
        <f aca="false">IF(AND(ISNUMBER(D67),ISNUMBER(F67)),D67*F67,"")</f>
        <v/>
      </c>
      <c r="H67" s="51" t="s">
        <v>250</v>
      </c>
      <c r="I67" s="51"/>
    </row>
    <row r="68" customFormat="false" ht="15" hidden="false" customHeight="false" outlineLevel="0" collapsed="false">
      <c r="A68" s="65" t="n">
        <v>46087</v>
      </c>
      <c r="B68" s="51" t="s">
        <v>219</v>
      </c>
      <c r="C68" s="51" t="s">
        <v>263</v>
      </c>
      <c r="D68" s="72" t="n">
        <v>5</v>
      </c>
      <c r="E68" s="51" t="s">
        <v>247</v>
      </c>
      <c r="F68" s="35" t="n">
        <f aca="false">IF(OR(B68="",E68&lt;&gt;"Yes"),"",IFERROR(INDEX(Clients!$F$6:$F$25,MATCH(B68,Clients!$B$6:$B$25,0)),""))</f>
        <v>100</v>
      </c>
      <c r="G68" s="73" t="n">
        <f aca="false">IF(AND(ISNUMBER(D68),ISNUMBER(F68)),D68*F68,"")</f>
        <v>500</v>
      </c>
      <c r="H68" s="51" t="s">
        <v>247</v>
      </c>
      <c r="I68" s="51"/>
    </row>
    <row r="69" customFormat="false" ht="15" hidden="false" customHeight="false" outlineLevel="0" collapsed="false">
      <c r="A69" s="65" t="n">
        <v>46087</v>
      </c>
      <c r="B69" s="51" t="s">
        <v>210</v>
      </c>
      <c r="C69" s="51" t="s">
        <v>260</v>
      </c>
      <c r="D69" s="72" t="n">
        <v>3.5</v>
      </c>
      <c r="E69" s="51" t="s">
        <v>247</v>
      </c>
      <c r="F69" s="35" t="n">
        <f aca="false">IF(OR(B69="",E69&lt;&gt;"Yes"),"",IFERROR(INDEX(Clients!$F$6:$F$25,MATCH(B69,Clients!$B$6:$B$25,0)),""))</f>
        <v>135</v>
      </c>
      <c r="G69" s="73" t="n">
        <f aca="false">IF(AND(ISNUMBER(D69),ISNUMBER(F69)),D69*F69,"")</f>
        <v>472.5</v>
      </c>
      <c r="H69" s="51" t="s">
        <v>247</v>
      </c>
      <c r="I69" s="51"/>
    </row>
    <row r="70" customFormat="false" ht="15" hidden="false" customHeight="false" outlineLevel="0" collapsed="false">
      <c r="A70" s="65" t="n">
        <v>46087</v>
      </c>
      <c r="B70" s="51" t="s">
        <v>207</v>
      </c>
      <c r="C70" s="51" t="s">
        <v>259</v>
      </c>
      <c r="D70" s="72" t="n">
        <v>6</v>
      </c>
      <c r="E70" s="51" t="s">
        <v>247</v>
      </c>
      <c r="F70" s="35" t="n">
        <f aca="false">IF(OR(B70="",E70&lt;&gt;"Yes"),"",IFERROR(INDEX(Clients!$F$6:$F$25,MATCH(B70,Clients!$B$6:$B$25,0)),""))</f>
        <v>125</v>
      </c>
      <c r="G70" s="73" t="n">
        <f aca="false">IF(AND(ISNUMBER(D70),ISNUMBER(F70)),D70*F70,"")</f>
        <v>750</v>
      </c>
      <c r="H70" s="51" t="s">
        <v>247</v>
      </c>
      <c r="I70" s="51"/>
    </row>
    <row r="71" customFormat="false" ht="15" hidden="false" customHeight="false" outlineLevel="0" collapsed="false">
      <c r="A71" s="65" t="n">
        <v>46087</v>
      </c>
      <c r="B71" s="51" t="s">
        <v>216</v>
      </c>
      <c r="C71" s="51" t="s">
        <v>258</v>
      </c>
      <c r="D71" s="72" t="n">
        <v>2.75</v>
      </c>
      <c r="E71" s="51" t="s">
        <v>247</v>
      </c>
      <c r="F71" s="35" t="n">
        <f aca="false">IF(OR(B71="",E71&lt;&gt;"Yes"),"",IFERROR(INDEX(Clients!$F$6:$F$25,MATCH(B71,Clients!$B$6:$B$25,0)),""))</f>
        <v>100</v>
      </c>
      <c r="G71" s="73" t="n">
        <f aca="false">IF(AND(ISNUMBER(D71),ISNUMBER(F71)),D71*F71,"")</f>
        <v>275</v>
      </c>
      <c r="H71" s="51" t="s">
        <v>247</v>
      </c>
      <c r="I71" s="51"/>
    </row>
    <row r="72" customFormat="false" ht="15" hidden="false" customHeight="false" outlineLevel="0" collapsed="false">
      <c r="A72" s="65" t="n">
        <v>46094</v>
      </c>
      <c r="B72" s="51" t="s">
        <v>213</v>
      </c>
      <c r="C72" s="51" t="s">
        <v>256</v>
      </c>
      <c r="D72" s="72" t="n">
        <v>3.75</v>
      </c>
      <c r="E72" s="51" t="s">
        <v>247</v>
      </c>
      <c r="F72" s="35" t="n">
        <f aca="false">IF(OR(B72="",E72&lt;&gt;"Yes"),"",IFERROR(INDEX(Clients!$F$6:$F$25,MATCH(B72,Clients!$B$6:$B$25,0)),""))</f>
        <v>135</v>
      </c>
      <c r="G72" s="73" t="n">
        <f aca="false">IF(AND(ISNUMBER(D72),ISNUMBER(F72)),D72*F72,"")</f>
        <v>506.25</v>
      </c>
      <c r="H72" s="51" t="s">
        <v>247</v>
      </c>
      <c r="I72" s="51"/>
    </row>
    <row r="73" customFormat="false" ht="15" hidden="false" customHeight="false" outlineLevel="0" collapsed="false">
      <c r="A73" s="65" t="n">
        <v>46094</v>
      </c>
      <c r="B73" s="51" t="s">
        <v>204</v>
      </c>
      <c r="C73" s="51" t="s">
        <v>262</v>
      </c>
      <c r="D73" s="72" t="n">
        <v>2.5</v>
      </c>
      <c r="E73" s="51" t="s">
        <v>247</v>
      </c>
      <c r="F73" s="35" t="n">
        <f aca="false">IF(OR(B73="",E73&lt;&gt;"Yes"),"",IFERROR(INDEX(Clients!$F$6:$F$25,MATCH(B73,Clients!$B$6:$B$25,0)),""))</f>
        <v>135</v>
      </c>
      <c r="G73" s="73" t="n">
        <f aca="false">IF(AND(ISNUMBER(D73),ISNUMBER(F73)),D73*F73,"")</f>
        <v>337.5</v>
      </c>
      <c r="H73" s="51" t="s">
        <v>247</v>
      </c>
      <c r="I73" s="51"/>
    </row>
    <row r="74" customFormat="false" ht="15" hidden="false" customHeight="false" outlineLevel="0" collapsed="false">
      <c r="A74" s="65" t="n">
        <v>46094</v>
      </c>
      <c r="B74" s="51" t="s">
        <v>117</v>
      </c>
      <c r="C74" s="51" t="s">
        <v>249</v>
      </c>
      <c r="D74" s="72" t="n">
        <v>3.25</v>
      </c>
      <c r="E74" s="51" t="s">
        <v>250</v>
      </c>
      <c r="F74" s="35" t="str">
        <f aca="false">IF(OR(B74="",E74&lt;&gt;"Yes"),"",IFERROR(INDEX(Clients!$F$6:$F$25,MATCH(B74,Clients!$B$6:$B$25,0)),""))</f>
        <v/>
      </c>
      <c r="G74" s="73" t="str">
        <f aca="false">IF(AND(ISNUMBER(D74),ISNUMBER(F74)),D74*F74,"")</f>
        <v/>
      </c>
      <c r="H74" s="51" t="s">
        <v>250</v>
      </c>
      <c r="I74" s="51"/>
    </row>
    <row r="75" customFormat="false" ht="15" hidden="false" customHeight="false" outlineLevel="0" collapsed="false">
      <c r="A75" s="65" t="n">
        <v>46094</v>
      </c>
      <c r="B75" s="51" t="s">
        <v>117</v>
      </c>
      <c r="C75" s="51" t="s">
        <v>251</v>
      </c>
      <c r="D75" s="72" t="n">
        <v>2</v>
      </c>
      <c r="E75" s="51" t="s">
        <v>250</v>
      </c>
      <c r="F75" s="35" t="str">
        <f aca="false">IF(OR(B75="",E75&lt;&gt;"Yes"),"",IFERROR(INDEX(Clients!$F$6:$F$25,MATCH(B75,Clients!$B$6:$B$25,0)),""))</f>
        <v/>
      </c>
      <c r="G75" s="73" t="str">
        <f aca="false">IF(AND(ISNUMBER(D75),ISNUMBER(F75)),D75*F75,"")</f>
        <v/>
      </c>
      <c r="H75" s="51" t="s">
        <v>250</v>
      </c>
      <c r="I75" s="51"/>
    </row>
    <row r="76" customFormat="false" ht="15" hidden="false" customHeight="false" outlineLevel="0" collapsed="false">
      <c r="A76" s="65" t="n">
        <v>46094</v>
      </c>
      <c r="B76" s="51" t="s">
        <v>219</v>
      </c>
      <c r="C76" s="51" t="s">
        <v>264</v>
      </c>
      <c r="D76" s="72" t="n">
        <v>7.5</v>
      </c>
      <c r="E76" s="51" t="s">
        <v>247</v>
      </c>
      <c r="F76" s="35" t="n">
        <f aca="false">IF(OR(B76="",E76&lt;&gt;"Yes"),"",IFERROR(INDEX(Clients!$F$6:$F$25,MATCH(B76,Clients!$B$6:$B$25,0)),""))</f>
        <v>100</v>
      </c>
      <c r="G76" s="73" t="n">
        <f aca="false">IF(AND(ISNUMBER(D76),ISNUMBER(F76)),D76*F76,"")</f>
        <v>750</v>
      </c>
      <c r="H76" s="51" t="s">
        <v>247</v>
      </c>
      <c r="I76" s="51"/>
    </row>
    <row r="77" customFormat="false" ht="15" hidden="false" customHeight="false" outlineLevel="0" collapsed="false">
      <c r="A77" s="65" t="n">
        <v>46094</v>
      </c>
      <c r="B77" s="51" t="s">
        <v>210</v>
      </c>
      <c r="C77" s="51" t="s">
        <v>260</v>
      </c>
      <c r="D77" s="72" t="n">
        <v>3</v>
      </c>
      <c r="E77" s="51" t="s">
        <v>247</v>
      </c>
      <c r="F77" s="35" t="n">
        <f aca="false">IF(OR(B77="",E77&lt;&gt;"Yes"),"",IFERROR(INDEX(Clients!$F$6:$F$25,MATCH(B77,Clients!$B$6:$B$25,0)),""))</f>
        <v>135</v>
      </c>
      <c r="G77" s="73" t="n">
        <f aca="false">IF(AND(ISNUMBER(D77),ISNUMBER(F77)),D77*F77,"")</f>
        <v>405</v>
      </c>
      <c r="H77" s="51" t="s">
        <v>247</v>
      </c>
      <c r="I77" s="51"/>
    </row>
    <row r="78" customFormat="false" ht="15" hidden="false" customHeight="false" outlineLevel="0" collapsed="false">
      <c r="A78" s="65" t="n">
        <v>46094</v>
      </c>
      <c r="B78" s="51" t="s">
        <v>207</v>
      </c>
      <c r="C78" s="51" t="s">
        <v>255</v>
      </c>
      <c r="D78" s="72" t="n">
        <v>5.25</v>
      </c>
      <c r="E78" s="51" t="s">
        <v>247</v>
      </c>
      <c r="F78" s="35" t="n">
        <f aca="false">IF(OR(B78="",E78&lt;&gt;"Yes"),"",IFERROR(INDEX(Clients!$F$6:$F$25,MATCH(B78,Clients!$B$6:$B$25,0)),""))</f>
        <v>125</v>
      </c>
      <c r="G78" s="73" t="n">
        <f aca="false">IF(AND(ISNUMBER(D78),ISNUMBER(F78)),D78*F78,"")</f>
        <v>656.25</v>
      </c>
      <c r="H78" s="51" t="s">
        <v>247</v>
      </c>
      <c r="I78" s="51"/>
    </row>
    <row r="79" customFormat="false" ht="15" hidden="false" customHeight="false" outlineLevel="0" collapsed="false">
      <c r="A79" s="65" t="n">
        <v>46094</v>
      </c>
      <c r="B79" s="51" t="s">
        <v>216</v>
      </c>
      <c r="C79" s="51" t="s">
        <v>258</v>
      </c>
      <c r="D79" s="72" t="n">
        <v>2.5</v>
      </c>
      <c r="E79" s="51" t="s">
        <v>247</v>
      </c>
      <c r="F79" s="35" t="n">
        <f aca="false">IF(OR(B79="",E79&lt;&gt;"Yes"),"",IFERROR(INDEX(Clients!$F$6:$F$25,MATCH(B79,Clients!$B$6:$B$25,0)),""))</f>
        <v>100</v>
      </c>
      <c r="G79" s="73" t="n">
        <f aca="false">IF(AND(ISNUMBER(D79),ISNUMBER(F79)),D79*F79,"")</f>
        <v>250</v>
      </c>
      <c r="H79" s="51" t="s">
        <v>247</v>
      </c>
      <c r="I79" s="51"/>
    </row>
    <row r="80" customFormat="false" ht="15" hidden="false" customHeight="false" outlineLevel="0" collapsed="false">
      <c r="A80" s="65" t="n">
        <v>46101</v>
      </c>
      <c r="B80" s="51" t="s">
        <v>213</v>
      </c>
      <c r="C80" s="51" t="s">
        <v>254</v>
      </c>
      <c r="D80" s="72" t="n">
        <v>5</v>
      </c>
      <c r="E80" s="51" t="s">
        <v>247</v>
      </c>
      <c r="F80" s="35" t="n">
        <f aca="false">IF(OR(B80="",E80&lt;&gt;"Yes"),"",IFERROR(INDEX(Clients!$F$6:$F$25,MATCH(B80,Clients!$B$6:$B$25,0)),""))</f>
        <v>135</v>
      </c>
      <c r="G80" s="73" t="n">
        <f aca="false">IF(AND(ISNUMBER(D80),ISNUMBER(F80)),D80*F80,"")</f>
        <v>675</v>
      </c>
      <c r="H80" s="51" t="s">
        <v>247</v>
      </c>
      <c r="I80" s="51"/>
    </row>
    <row r="81" customFormat="false" ht="15" hidden="false" customHeight="false" outlineLevel="0" collapsed="false">
      <c r="A81" s="65" t="n">
        <v>46101</v>
      </c>
      <c r="B81" s="51" t="s">
        <v>204</v>
      </c>
      <c r="C81" s="51" t="s">
        <v>257</v>
      </c>
      <c r="D81" s="72" t="n">
        <v>7.5</v>
      </c>
      <c r="E81" s="51" t="s">
        <v>247</v>
      </c>
      <c r="F81" s="35" t="n">
        <f aca="false">IF(OR(B81="",E81&lt;&gt;"Yes"),"",IFERROR(INDEX(Clients!$F$6:$F$25,MATCH(B81,Clients!$B$6:$B$25,0)),""))</f>
        <v>135</v>
      </c>
      <c r="G81" s="73" t="n">
        <f aca="false">IF(AND(ISNUMBER(D81),ISNUMBER(F81)),D81*F81,"")</f>
        <v>1012.5</v>
      </c>
      <c r="H81" s="51" t="s">
        <v>247</v>
      </c>
      <c r="I81" s="51"/>
    </row>
    <row r="82" customFormat="false" ht="15" hidden="false" customHeight="false" outlineLevel="0" collapsed="false">
      <c r="A82" s="65" t="n">
        <v>46101</v>
      </c>
      <c r="B82" s="51" t="s">
        <v>117</v>
      </c>
      <c r="C82" s="51" t="s">
        <v>249</v>
      </c>
      <c r="D82" s="72" t="n">
        <v>3.5</v>
      </c>
      <c r="E82" s="51" t="s">
        <v>250</v>
      </c>
      <c r="F82" s="35" t="str">
        <f aca="false">IF(OR(B82="",E82&lt;&gt;"Yes"),"",IFERROR(INDEX(Clients!$F$6:$F$25,MATCH(B82,Clients!$B$6:$B$25,0)),""))</f>
        <v/>
      </c>
      <c r="G82" s="73" t="str">
        <f aca="false">IF(AND(ISNUMBER(D82),ISNUMBER(F82)),D82*F82,"")</f>
        <v/>
      </c>
      <c r="H82" s="51" t="s">
        <v>250</v>
      </c>
      <c r="I82" s="51"/>
    </row>
    <row r="83" customFormat="false" ht="15" hidden="false" customHeight="false" outlineLevel="0" collapsed="false">
      <c r="A83" s="65" t="n">
        <v>46101</v>
      </c>
      <c r="B83" s="51" t="s">
        <v>117</v>
      </c>
      <c r="C83" s="51" t="s">
        <v>251</v>
      </c>
      <c r="D83" s="72" t="n">
        <v>1.75</v>
      </c>
      <c r="E83" s="51" t="s">
        <v>250</v>
      </c>
      <c r="F83" s="35" t="str">
        <f aca="false">IF(OR(B83="",E83&lt;&gt;"Yes"),"",IFERROR(INDEX(Clients!$F$6:$F$25,MATCH(B83,Clients!$B$6:$B$25,0)),""))</f>
        <v/>
      </c>
      <c r="G83" s="73" t="str">
        <f aca="false">IF(AND(ISNUMBER(D83),ISNUMBER(F83)),D83*F83,"")</f>
        <v/>
      </c>
      <c r="H83" s="51" t="s">
        <v>250</v>
      </c>
      <c r="I83" s="51"/>
    </row>
    <row r="84" customFormat="false" ht="15" hidden="false" customHeight="false" outlineLevel="0" collapsed="false">
      <c r="A84" s="65" t="n">
        <v>46101</v>
      </c>
      <c r="B84" s="51" t="s">
        <v>219</v>
      </c>
      <c r="C84" s="51" t="s">
        <v>264</v>
      </c>
      <c r="D84" s="72" t="n">
        <v>10.5</v>
      </c>
      <c r="E84" s="51" t="s">
        <v>247</v>
      </c>
      <c r="F84" s="35" t="n">
        <f aca="false">IF(OR(B84="",E84&lt;&gt;"Yes"),"",IFERROR(INDEX(Clients!$F$6:$F$25,MATCH(B84,Clients!$B$6:$B$25,0)),""))</f>
        <v>100</v>
      </c>
      <c r="G84" s="73" t="n">
        <f aca="false">IF(AND(ISNUMBER(D84),ISNUMBER(F84)),D84*F84,"")</f>
        <v>1050</v>
      </c>
      <c r="H84" s="51" t="s">
        <v>247</v>
      </c>
      <c r="I84" s="51"/>
    </row>
    <row r="85" customFormat="false" ht="15" hidden="false" customHeight="false" outlineLevel="0" collapsed="false">
      <c r="A85" s="65" t="n">
        <v>46101</v>
      </c>
      <c r="B85" s="51" t="s">
        <v>210</v>
      </c>
      <c r="C85" s="51" t="s">
        <v>260</v>
      </c>
      <c r="D85" s="72" t="n">
        <v>6</v>
      </c>
      <c r="E85" s="51" t="s">
        <v>247</v>
      </c>
      <c r="F85" s="35" t="n">
        <f aca="false">IF(OR(B85="",E85&lt;&gt;"Yes"),"",IFERROR(INDEX(Clients!$F$6:$F$25,MATCH(B85,Clients!$B$6:$B$25,0)),""))</f>
        <v>135</v>
      </c>
      <c r="G85" s="73" t="n">
        <f aca="false">IF(AND(ISNUMBER(D85),ISNUMBER(F85)),D85*F85,"")</f>
        <v>810</v>
      </c>
      <c r="H85" s="51" t="s">
        <v>247</v>
      </c>
      <c r="I85" s="51"/>
    </row>
    <row r="86" customFormat="false" ht="15" hidden="false" customHeight="false" outlineLevel="0" collapsed="false">
      <c r="A86" s="65" t="n">
        <v>46101</v>
      </c>
      <c r="B86" s="51" t="s">
        <v>207</v>
      </c>
      <c r="C86" s="51" t="s">
        <v>255</v>
      </c>
      <c r="D86" s="72" t="n">
        <v>4.75</v>
      </c>
      <c r="E86" s="51" t="s">
        <v>247</v>
      </c>
      <c r="F86" s="35" t="n">
        <f aca="false">IF(OR(B86="",E86&lt;&gt;"Yes"),"",IFERROR(INDEX(Clients!$F$6:$F$25,MATCH(B86,Clients!$B$6:$B$25,0)),""))</f>
        <v>125</v>
      </c>
      <c r="G86" s="73" t="n">
        <f aca="false">IF(AND(ISNUMBER(D86),ISNUMBER(F86)),D86*F86,"")</f>
        <v>593.75</v>
      </c>
      <c r="H86" s="51" t="s">
        <v>247</v>
      </c>
      <c r="I86" s="51"/>
    </row>
    <row r="87" customFormat="false" ht="15" hidden="false" customHeight="false" outlineLevel="0" collapsed="false">
      <c r="A87" s="65" t="n">
        <v>46101</v>
      </c>
      <c r="B87" s="51" t="s">
        <v>216</v>
      </c>
      <c r="C87" s="51" t="s">
        <v>253</v>
      </c>
      <c r="D87" s="72" t="n">
        <v>2.5</v>
      </c>
      <c r="E87" s="51" t="s">
        <v>247</v>
      </c>
      <c r="F87" s="35" t="n">
        <f aca="false">IF(OR(B87="",E87&lt;&gt;"Yes"),"",IFERROR(INDEX(Clients!$F$6:$F$25,MATCH(B87,Clients!$B$6:$B$25,0)),""))</f>
        <v>100</v>
      </c>
      <c r="G87" s="73" t="n">
        <f aca="false">IF(AND(ISNUMBER(D87),ISNUMBER(F87)),D87*F87,"")</f>
        <v>250</v>
      </c>
      <c r="H87" s="51" t="s">
        <v>247</v>
      </c>
      <c r="I87" s="51"/>
    </row>
    <row r="88" customFormat="false" ht="15" hidden="false" customHeight="false" outlineLevel="0" collapsed="false">
      <c r="A88" s="65" t="n">
        <v>46108</v>
      </c>
      <c r="B88" s="51" t="s">
        <v>213</v>
      </c>
      <c r="C88" s="51" t="s">
        <v>254</v>
      </c>
      <c r="D88" s="72" t="n">
        <v>3.5</v>
      </c>
      <c r="E88" s="51" t="s">
        <v>247</v>
      </c>
      <c r="F88" s="35" t="n">
        <f aca="false">IF(OR(B88="",E88&lt;&gt;"Yes"),"",IFERROR(INDEX(Clients!$F$6:$F$25,MATCH(B88,Clients!$B$6:$B$25,0)),""))</f>
        <v>135</v>
      </c>
      <c r="G88" s="73" t="n">
        <f aca="false">IF(AND(ISNUMBER(D88),ISNUMBER(F88)),D88*F88,"")</f>
        <v>472.5</v>
      </c>
      <c r="H88" s="51" t="s">
        <v>247</v>
      </c>
      <c r="I88" s="51"/>
    </row>
    <row r="89" customFormat="false" ht="15" hidden="false" customHeight="false" outlineLevel="0" collapsed="false">
      <c r="A89" s="65" t="n">
        <v>46108</v>
      </c>
      <c r="B89" s="51" t="s">
        <v>204</v>
      </c>
      <c r="C89" s="51" t="s">
        <v>257</v>
      </c>
      <c r="D89" s="72" t="n">
        <v>6.5</v>
      </c>
      <c r="E89" s="51" t="s">
        <v>247</v>
      </c>
      <c r="F89" s="35" t="n">
        <f aca="false">IF(OR(B89="",E89&lt;&gt;"Yes"),"",IFERROR(INDEX(Clients!$F$6:$F$25,MATCH(B89,Clients!$B$6:$B$25,0)),""))</f>
        <v>135</v>
      </c>
      <c r="G89" s="73" t="n">
        <f aca="false">IF(AND(ISNUMBER(D89),ISNUMBER(F89)),D89*F89,"")</f>
        <v>877.5</v>
      </c>
      <c r="H89" s="51" t="s">
        <v>247</v>
      </c>
      <c r="I89" s="51"/>
    </row>
    <row r="90" customFormat="false" ht="15" hidden="false" customHeight="false" outlineLevel="0" collapsed="false">
      <c r="A90" s="65" t="n">
        <v>46108</v>
      </c>
      <c r="B90" s="51" t="s">
        <v>117</v>
      </c>
      <c r="C90" s="51" t="s">
        <v>249</v>
      </c>
      <c r="D90" s="72" t="n">
        <v>3.25</v>
      </c>
      <c r="E90" s="51" t="s">
        <v>250</v>
      </c>
      <c r="F90" s="35" t="str">
        <f aca="false">IF(OR(B90="",E90&lt;&gt;"Yes"),"",IFERROR(INDEX(Clients!$F$6:$F$25,MATCH(B90,Clients!$B$6:$B$25,0)),""))</f>
        <v/>
      </c>
      <c r="G90" s="73" t="str">
        <f aca="false">IF(AND(ISNUMBER(D90),ISNUMBER(F90)),D90*F90,"")</f>
        <v/>
      </c>
      <c r="H90" s="51" t="s">
        <v>250</v>
      </c>
      <c r="I90" s="51"/>
    </row>
    <row r="91" customFormat="false" ht="15" hidden="false" customHeight="false" outlineLevel="0" collapsed="false">
      <c r="A91" s="65" t="n">
        <v>46108</v>
      </c>
      <c r="B91" s="51" t="s">
        <v>117</v>
      </c>
      <c r="C91" s="51" t="s">
        <v>251</v>
      </c>
      <c r="D91" s="72" t="n">
        <v>2.25</v>
      </c>
      <c r="E91" s="51" t="s">
        <v>250</v>
      </c>
      <c r="F91" s="35" t="str">
        <f aca="false">IF(OR(B91="",E91&lt;&gt;"Yes"),"",IFERROR(INDEX(Clients!$F$6:$F$25,MATCH(B91,Clients!$B$6:$B$25,0)),""))</f>
        <v/>
      </c>
      <c r="G91" s="73" t="str">
        <f aca="false">IF(AND(ISNUMBER(D91),ISNUMBER(F91)),D91*F91,"")</f>
        <v/>
      </c>
      <c r="H91" s="51" t="s">
        <v>250</v>
      </c>
      <c r="I91" s="51"/>
    </row>
    <row r="92" customFormat="false" ht="15" hidden="false" customHeight="false" outlineLevel="0" collapsed="false">
      <c r="A92" s="65" t="n">
        <v>46108</v>
      </c>
      <c r="B92" s="51" t="s">
        <v>219</v>
      </c>
      <c r="C92" s="51" t="s">
        <v>264</v>
      </c>
      <c r="D92" s="72" t="n">
        <v>8.25</v>
      </c>
      <c r="E92" s="51" t="s">
        <v>247</v>
      </c>
      <c r="F92" s="35" t="n">
        <f aca="false">IF(OR(B92="",E92&lt;&gt;"Yes"),"",IFERROR(INDEX(Clients!$F$6:$F$25,MATCH(B92,Clients!$B$6:$B$25,0)),""))</f>
        <v>100</v>
      </c>
      <c r="G92" s="73" t="n">
        <f aca="false">IF(AND(ISNUMBER(D92),ISNUMBER(F92)),D92*F92,"")</f>
        <v>825</v>
      </c>
      <c r="H92" s="51" t="s">
        <v>247</v>
      </c>
      <c r="I92" s="51"/>
    </row>
    <row r="93" customFormat="false" ht="15" hidden="false" customHeight="false" outlineLevel="0" collapsed="false">
      <c r="A93" s="65" t="n">
        <v>46108</v>
      </c>
      <c r="B93" s="51" t="s">
        <v>210</v>
      </c>
      <c r="C93" s="51" t="s">
        <v>265</v>
      </c>
      <c r="D93" s="72" t="n">
        <v>3.5</v>
      </c>
      <c r="E93" s="51" t="s">
        <v>247</v>
      </c>
      <c r="F93" s="35" t="n">
        <f aca="false">IF(OR(B93="",E93&lt;&gt;"Yes"),"",IFERROR(INDEX(Clients!$F$6:$F$25,MATCH(B93,Clients!$B$6:$B$25,0)),""))</f>
        <v>135</v>
      </c>
      <c r="G93" s="73" t="n">
        <f aca="false">IF(AND(ISNUMBER(D93),ISNUMBER(F93)),D93*F93,"")</f>
        <v>472.5</v>
      </c>
      <c r="H93" s="51" t="s">
        <v>247</v>
      </c>
      <c r="I93" s="51"/>
    </row>
    <row r="94" customFormat="false" ht="15" hidden="false" customHeight="false" outlineLevel="0" collapsed="false">
      <c r="A94" s="65" t="n">
        <v>46108</v>
      </c>
      <c r="B94" s="51" t="s">
        <v>207</v>
      </c>
      <c r="C94" s="51" t="s">
        <v>259</v>
      </c>
      <c r="D94" s="72" t="n">
        <v>6</v>
      </c>
      <c r="E94" s="51" t="s">
        <v>247</v>
      </c>
      <c r="F94" s="35" t="n">
        <f aca="false">IF(OR(B94="",E94&lt;&gt;"Yes"),"",IFERROR(INDEX(Clients!$F$6:$F$25,MATCH(B94,Clients!$B$6:$B$25,0)),""))</f>
        <v>125</v>
      </c>
      <c r="G94" s="73" t="n">
        <f aca="false">IF(AND(ISNUMBER(D94),ISNUMBER(F94)),D94*F94,"")</f>
        <v>750</v>
      </c>
      <c r="H94" s="51" t="s">
        <v>247</v>
      </c>
      <c r="I94" s="51"/>
    </row>
    <row r="95" customFormat="false" ht="15" hidden="false" customHeight="false" outlineLevel="0" collapsed="false">
      <c r="A95" s="65" t="n">
        <v>46108</v>
      </c>
      <c r="B95" s="51" t="s">
        <v>216</v>
      </c>
      <c r="C95" s="51" t="s">
        <v>253</v>
      </c>
      <c r="D95" s="72" t="n">
        <v>2</v>
      </c>
      <c r="E95" s="51" t="s">
        <v>247</v>
      </c>
      <c r="F95" s="35" t="n">
        <f aca="false">IF(OR(B95="",E95&lt;&gt;"Yes"),"",IFERROR(INDEX(Clients!$F$6:$F$25,MATCH(B95,Clients!$B$6:$B$25,0)),""))</f>
        <v>100</v>
      </c>
      <c r="G95" s="73" t="n">
        <f aca="false">IF(AND(ISNUMBER(D95),ISNUMBER(F95)),D95*F95,"")</f>
        <v>200</v>
      </c>
      <c r="H95" s="51" t="s">
        <v>247</v>
      </c>
      <c r="I95" s="51"/>
    </row>
    <row r="96" customFormat="false" ht="15" hidden="false" customHeight="false" outlineLevel="0" collapsed="false">
      <c r="A96" s="65" t="n">
        <v>46115</v>
      </c>
      <c r="B96" s="51" t="s">
        <v>213</v>
      </c>
      <c r="C96" s="51" t="s">
        <v>256</v>
      </c>
      <c r="D96" s="72" t="n">
        <v>3.5</v>
      </c>
      <c r="E96" s="51" t="s">
        <v>247</v>
      </c>
      <c r="F96" s="35" t="n">
        <f aca="false">IF(OR(B96="",E96&lt;&gt;"Yes"),"",IFERROR(INDEX(Clients!$F$6:$F$25,MATCH(B96,Clients!$B$6:$B$25,0)),""))</f>
        <v>135</v>
      </c>
      <c r="G96" s="73" t="n">
        <f aca="false">IF(AND(ISNUMBER(D96),ISNUMBER(F96)),D96*F96,"")</f>
        <v>472.5</v>
      </c>
      <c r="H96" s="51" t="s">
        <v>247</v>
      </c>
      <c r="I96" s="51"/>
    </row>
    <row r="97" customFormat="false" ht="15" hidden="false" customHeight="false" outlineLevel="0" collapsed="false">
      <c r="A97" s="65" t="n">
        <v>46115</v>
      </c>
      <c r="B97" s="51" t="s">
        <v>204</v>
      </c>
      <c r="C97" s="51" t="s">
        <v>262</v>
      </c>
      <c r="D97" s="72" t="n">
        <v>8</v>
      </c>
      <c r="E97" s="51" t="s">
        <v>247</v>
      </c>
      <c r="F97" s="35" t="n">
        <f aca="false">IF(OR(B97="",E97&lt;&gt;"Yes"),"",IFERROR(INDEX(Clients!$F$6:$F$25,MATCH(B97,Clients!$B$6:$B$25,0)),""))</f>
        <v>135</v>
      </c>
      <c r="G97" s="73" t="n">
        <f aca="false">IF(AND(ISNUMBER(D97),ISNUMBER(F97)),D97*F97,"")</f>
        <v>1080</v>
      </c>
      <c r="H97" s="51" t="s">
        <v>247</v>
      </c>
      <c r="I97" s="51"/>
    </row>
    <row r="98" customFormat="false" ht="15" hidden="false" customHeight="false" outlineLevel="0" collapsed="false">
      <c r="A98" s="65" t="n">
        <v>46115</v>
      </c>
      <c r="B98" s="51" t="s">
        <v>117</v>
      </c>
      <c r="C98" s="51" t="s">
        <v>249</v>
      </c>
      <c r="D98" s="72" t="n">
        <v>4</v>
      </c>
      <c r="E98" s="51" t="s">
        <v>250</v>
      </c>
      <c r="F98" s="35" t="str">
        <f aca="false">IF(OR(B98="",E98&lt;&gt;"Yes"),"",IFERROR(INDEX(Clients!$F$6:$F$25,MATCH(B98,Clients!$B$6:$B$25,0)),""))</f>
        <v/>
      </c>
      <c r="G98" s="73" t="str">
        <f aca="false">IF(AND(ISNUMBER(D98),ISNUMBER(F98)),D98*F98,"")</f>
        <v/>
      </c>
      <c r="H98" s="51" t="s">
        <v>250</v>
      </c>
      <c r="I98" s="51"/>
    </row>
    <row r="99" customFormat="false" ht="15" hidden="false" customHeight="false" outlineLevel="0" collapsed="false">
      <c r="A99" s="65" t="n">
        <v>46115</v>
      </c>
      <c r="B99" s="51" t="s">
        <v>117</v>
      </c>
      <c r="C99" s="51" t="s">
        <v>251</v>
      </c>
      <c r="D99" s="72" t="n">
        <v>1.75</v>
      </c>
      <c r="E99" s="51" t="s">
        <v>250</v>
      </c>
      <c r="F99" s="35" t="str">
        <f aca="false">IF(OR(B99="",E99&lt;&gt;"Yes"),"",IFERROR(INDEX(Clients!$F$6:$F$25,MATCH(B99,Clients!$B$6:$B$25,0)),""))</f>
        <v/>
      </c>
      <c r="G99" s="73" t="str">
        <f aca="false">IF(AND(ISNUMBER(D99),ISNUMBER(F99)),D99*F99,"")</f>
        <v/>
      </c>
      <c r="H99" s="51" t="s">
        <v>250</v>
      </c>
      <c r="I99" s="51"/>
    </row>
    <row r="100" customFormat="false" ht="15" hidden="false" customHeight="false" outlineLevel="0" collapsed="false">
      <c r="A100" s="65" t="n">
        <v>46115</v>
      </c>
      <c r="B100" s="51" t="s">
        <v>219</v>
      </c>
      <c r="C100" s="51" t="s">
        <v>266</v>
      </c>
      <c r="D100" s="72" t="n">
        <v>8.75</v>
      </c>
      <c r="E100" s="51" t="s">
        <v>247</v>
      </c>
      <c r="F100" s="35" t="n">
        <f aca="false">IF(OR(B100="",E100&lt;&gt;"Yes"),"",IFERROR(INDEX(Clients!$F$6:$F$25,MATCH(B100,Clients!$B$6:$B$25,0)),""))</f>
        <v>100</v>
      </c>
      <c r="G100" s="73" t="n">
        <f aca="false">IF(AND(ISNUMBER(D100),ISNUMBER(F100)),D100*F100,"")</f>
        <v>875</v>
      </c>
      <c r="H100" s="51" t="s">
        <v>247</v>
      </c>
      <c r="I100" s="51"/>
    </row>
    <row r="101" customFormat="false" ht="15" hidden="false" customHeight="false" outlineLevel="0" collapsed="false">
      <c r="A101" s="65" t="n">
        <v>46115</v>
      </c>
      <c r="B101" s="51" t="s">
        <v>210</v>
      </c>
      <c r="C101" s="51" t="s">
        <v>265</v>
      </c>
      <c r="D101" s="72" t="n">
        <v>2.25</v>
      </c>
      <c r="E101" s="51" t="s">
        <v>247</v>
      </c>
      <c r="F101" s="35" t="n">
        <f aca="false">IF(OR(B101="",E101&lt;&gt;"Yes"),"",IFERROR(INDEX(Clients!$F$6:$F$25,MATCH(B101,Clients!$B$6:$B$25,0)),""))</f>
        <v>135</v>
      </c>
      <c r="G101" s="73" t="n">
        <f aca="false">IF(AND(ISNUMBER(D101),ISNUMBER(F101)),D101*F101,"")</f>
        <v>303.75</v>
      </c>
      <c r="H101" s="51" t="s">
        <v>247</v>
      </c>
      <c r="I101" s="51"/>
    </row>
    <row r="102" customFormat="false" ht="15" hidden="false" customHeight="false" outlineLevel="0" collapsed="false">
      <c r="A102" s="65" t="n">
        <v>46115</v>
      </c>
      <c r="B102" s="51" t="s">
        <v>207</v>
      </c>
      <c r="C102" s="51" t="s">
        <v>255</v>
      </c>
      <c r="D102" s="72" t="n">
        <v>5.5</v>
      </c>
      <c r="E102" s="51" t="s">
        <v>247</v>
      </c>
      <c r="F102" s="35" t="n">
        <f aca="false">IF(OR(B102="",E102&lt;&gt;"Yes"),"",IFERROR(INDEX(Clients!$F$6:$F$25,MATCH(B102,Clients!$B$6:$B$25,0)),""))</f>
        <v>125</v>
      </c>
      <c r="G102" s="73" t="n">
        <f aca="false">IF(AND(ISNUMBER(D102),ISNUMBER(F102)),D102*F102,"")</f>
        <v>687.5</v>
      </c>
      <c r="H102" s="51" t="s">
        <v>247</v>
      </c>
      <c r="I102" s="51"/>
    </row>
    <row r="103" customFormat="false" ht="15" hidden="false" customHeight="false" outlineLevel="0" collapsed="false">
      <c r="A103" s="65" t="n">
        <v>46115</v>
      </c>
      <c r="B103" s="51" t="s">
        <v>216</v>
      </c>
      <c r="C103" s="51" t="s">
        <v>253</v>
      </c>
      <c r="D103" s="72" t="n">
        <v>2.5</v>
      </c>
      <c r="E103" s="51" t="s">
        <v>247</v>
      </c>
      <c r="F103" s="35" t="n">
        <f aca="false">IF(OR(B103="",E103&lt;&gt;"Yes"),"",IFERROR(INDEX(Clients!$F$6:$F$25,MATCH(B103,Clients!$B$6:$B$25,0)),""))</f>
        <v>100</v>
      </c>
      <c r="G103" s="73" t="n">
        <f aca="false">IF(AND(ISNUMBER(D103),ISNUMBER(F103)),D103*F103,"")</f>
        <v>250</v>
      </c>
      <c r="H103" s="51" t="s">
        <v>247</v>
      </c>
      <c r="I103" s="51"/>
    </row>
    <row r="104" customFormat="false" ht="15" hidden="false" customHeight="false" outlineLevel="0" collapsed="false">
      <c r="A104" s="65" t="n">
        <v>46122</v>
      </c>
      <c r="B104" s="51" t="s">
        <v>213</v>
      </c>
      <c r="C104" s="51" t="s">
        <v>246</v>
      </c>
      <c r="D104" s="72" t="n">
        <v>4.75</v>
      </c>
      <c r="E104" s="51" t="s">
        <v>247</v>
      </c>
      <c r="F104" s="35" t="n">
        <f aca="false">IF(OR(B104="",E104&lt;&gt;"Yes"),"",IFERROR(INDEX(Clients!$F$6:$F$25,MATCH(B104,Clients!$B$6:$B$25,0)),""))</f>
        <v>135</v>
      </c>
      <c r="G104" s="73" t="n">
        <f aca="false">IF(AND(ISNUMBER(D104),ISNUMBER(F104)),D104*F104,"")</f>
        <v>641.25</v>
      </c>
      <c r="H104" s="51" t="s">
        <v>247</v>
      </c>
      <c r="I104" s="51"/>
    </row>
    <row r="105" customFormat="false" ht="15" hidden="false" customHeight="false" outlineLevel="0" collapsed="false">
      <c r="A105" s="65" t="n">
        <v>46122</v>
      </c>
      <c r="B105" s="51" t="s">
        <v>204</v>
      </c>
      <c r="C105" s="51" t="s">
        <v>248</v>
      </c>
      <c r="D105" s="72" t="n">
        <v>6.25</v>
      </c>
      <c r="E105" s="51" t="s">
        <v>247</v>
      </c>
      <c r="F105" s="35" t="n">
        <f aca="false">IF(OR(B105="",E105&lt;&gt;"Yes"),"",IFERROR(INDEX(Clients!$F$6:$F$25,MATCH(B105,Clients!$B$6:$B$25,0)),""))</f>
        <v>135</v>
      </c>
      <c r="G105" s="73" t="n">
        <f aca="false">IF(AND(ISNUMBER(D105),ISNUMBER(F105)),D105*F105,"")</f>
        <v>843.75</v>
      </c>
      <c r="H105" s="51" t="s">
        <v>247</v>
      </c>
      <c r="I105" s="51"/>
    </row>
    <row r="106" customFormat="false" ht="15" hidden="false" customHeight="false" outlineLevel="0" collapsed="false">
      <c r="A106" s="65" t="n">
        <v>46122</v>
      </c>
      <c r="B106" s="51" t="s">
        <v>117</v>
      </c>
      <c r="C106" s="51" t="s">
        <v>249</v>
      </c>
      <c r="D106" s="72" t="n">
        <v>4.25</v>
      </c>
      <c r="E106" s="51" t="s">
        <v>250</v>
      </c>
      <c r="F106" s="35" t="str">
        <f aca="false">IF(OR(B106="",E106&lt;&gt;"Yes"),"",IFERROR(INDEX(Clients!$F$6:$F$25,MATCH(B106,Clients!$B$6:$B$25,0)),""))</f>
        <v/>
      </c>
      <c r="G106" s="73" t="str">
        <f aca="false">IF(AND(ISNUMBER(D106),ISNUMBER(F106)),D106*F106,"")</f>
        <v/>
      </c>
      <c r="H106" s="51" t="s">
        <v>250</v>
      </c>
      <c r="I106" s="51"/>
    </row>
    <row r="107" customFormat="false" ht="15" hidden="false" customHeight="false" outlineLevel="0" collapsed="false">
      <c r="A107" s="65" t="n">
        <v>46122</v>
      </c>
      <c r="B107" s="51" t="s">
        <v>117</v>
      </c>
      <c r="C107" s="51" t="s">
        <v>251</v>
      </c>
      <c r="D107" s="72" t="n">
        <v>2.25</v>
      </c>
      <c r="E107" s="51" t="s">
        <v>250</v>
      </c>
      <c r="F107" s="35" t="str">
        <f aca="false">IF(OR(B107="",E107&lt;&gt;"Yes"),"",IFERROR(INDEX(Clients!$F$6:$F$25,MATCH(B107,Clients!$B$6:$B$25,0)),""))</f>
        <v/>
      </c>
      <c r="G107" s="73" t="str">
        <f aca="false">IF(AND(ISNUMBER(D107),ISNUMBER(F107)),D107*F107,"")</f>
        <v/>
      </c>
      <c r="H107" s="51" t="s">
        <v>250</v>
      </c>
      <c r="I107" s="51"/>
    </row>
    <row r="108" customFormat="false" ht="15" hidden="false" customHeight="false" outlineLevel="0" collapsed="false">
      <c r="A108" s="65" t="n">
        <v>46122</v>
      </c>
      <c r="B108" s="51" t="s">
        <v>219</v>
      </c>
      <c r="C108" s="51" t="s">
        <v>266</v>
      </c>
      <c r="D108" s="72" t="n">
        <v>5</v>
      </c>
      <c r="E108" s="51" t="s">
        <v>247</v>
      </c>
      <c r="F108" s="35" t="n">
        <f aca="false">IF(OR(B108="",E108&lt;&gt;"Yes"),"",IFERROR(INDEX(Clients!$F$6:$F$25,MATCH(B108,Clients!$B$6:$B$25,0)),""))</f>
        <v>100</v>
      </c>
      <c r="G108" s="73" t="n">
        <f aca="false">IF(AND(ISNUMBER(D108),ISNUMBER(F108)),D108*F108,"")</f>
        <v>500</v>
      </c>
      <c r="H108" s="51" t="s">
        <v>247</v>
      </c>
      <c r="I108" s="51"/>
    </row>
    <row r="109" customFormat="false" ht="15" hidden="false" customHeight="false" outlineLevel="0" collapsed="false">
      <c r="A109" s="65" t="n">
        <v>46122</v>
      </c>
      <c r="B109" s="51" t="s">
        <v>210</v>
      </c>
      <c r="C109" s="51" t="s">
        <v>265</v>
      </c>
      <c r="D109" s="72" t="n">
        <v>4</v>
      </c>
      <c r="E109" s="51" t="s">
        <v>247</v>
      </c>
      <c r="F109" s="35" t="n">
        <f aca="false">IF(OR(B109="",E109&lt;&gt;"Yes"),"",IFERROR(INDEX(Clients!$F$6:$F$25,MATCH(B109,Clients!$B$6:$B$25,0)),""))</f>
        <v>135</v>
      </c>
      <c r="G109" s="73" t="n">
        <f aca="false">IF(AND(ISNUMBER(D109),ISNUMBER(F109)),D109*F109,"")</f>
        <v>540</v>
      </c>
      <c r="H109" s="51" t="s">
        <v>247</v>
      </c>
      <c r="I109" s="51"/>
    </row>
    <row r="110" customFormat="false" ht="15" hidden="false" customHeight="false" outlineLevel="0" collapsed="false">
      <c r="A110" s="65" t="n">
        <v>46122</v>
      </c>
      <c r="B110" s="51" t="s">
        <v>207</v>
      </c>
      <c r="C110" s="51" t="s">
        <v>252</v>
      </c>
      <c r="D110" s="72" t="n">
        <v>5.5</v>
      </c>
      <c r="E110" s="51" t="s">
        <v>247</v>
      </c>
      <c r="F110" s="35" t="n">
        <f aca="false">IF(OR(B110="",E110&lt;&gt;"Yes"),"",IFERROR(INDEX(Clients!$F$6:$F$25,MATCH(B110,Clients!$B$6:$B$25,0)),""))</f>
        <v>125</v>
      </c>
      <c r="G110" s="73" t="n">
        <f aca="false">IF(AND(ISNUMBER(D110),ISNUMBER(F110)),D110*F110,"")</f>
        <v>687.5</v>
      </c>
      <c r="H110" s="51" t="s">
        <v>247</v>
      </c>
      <c r="I110" s="51"/>
    </row>
    <row r="111" customFormat="false" ht="15" hidden="false" customHeight="false" outlineLevel="0" collapsed="false">
      <c r="A111" s="65" t="n">
        <v>46122</v>
      </c>
      <c r="B111" s="51" t="s">
        <v>216</v>
      </c>
      <c r="C111" s="51" t="s">
        <v>258</v>
      </c>
      <c r="D111" s="72" t="n">
        <v>2.25</v>
      </c>
      <c r="E111" s="51" t="s">
        <v>247</v>
      </c>
      <c r="F111" s="35" t="n">
        <f aca="false">IF(OR(B111="",E111&lt;&gt;"Yes"),"",IFERROR(INDEX(Clients!$F$6:$F$25,MATCH(B111,Clients!$B$6:$B$25,0)),""))</f>
        <v>100</v>
      </c>
      <c r="G111" s="73" t="n">
        <f aca="false">IF(AND(ISNUMBER(D111),ISNUMBER(F111)),D111*F111,"")</f>
        <v>225</v>
      </c>
      <c r="H111" s="51" t="s">
        <v>247</v>
      </c>
      <c r="I111" s="51"/>
    </row>
    <row r="112" customFormat="false" ht="15" hidden="false" customHeight="false" outlineLevel="0" collapsed="false">
      <c r="A112" s="65" t="n">
        <v>46129</v>
      </c>
      <c r="B112" s="51" t="s">
        <v>213</v>
      </c>
      <c r="C112" s="51" t="s">
        <v>256</v>
      </c>
      <c r="D112" s="72" t="n">
        <v>2.25</v>
      </c>
      <c r="E112" s="51" t="s">
        <v>247</v>
      </c>
      <c r="F112" s="35" t="n">
        <f aca="false">IF(OR(B112="",E112&lt;&gt;"Yes"),"",IFERROR(INDEX(Clients!$F$6:$F$25,MATCH(B112,Clients!$B$6:$B$25,0)),""))</f>
        <v>135</v>
      </c>
      <c r="G112" s="73" t="n">
        <f aca="false">IF(AND(ISNUMBER(D112),ISNUMBER(F112)),D112*F112,"")</f>
        <v>303.75</v>
      </c>
      <c r="H112" s="51" t="s">
        <v>247</v>
      </c>
      <c r="I112" s="51"/>
    </row>
    <row r="113" customFormat="false" ht="15" hidden="false" customHeight="false" outlineLevel="0" collapsed="false">
      <c r="A113" s="65" t="n">
        <v>46129</v>
      </c>
      <c r="B113" s="51" t="s">
        <v>204</v>
      </c>
      <c r="C113" s="51" t="s">
        <v>262</v>
      </c>
      <c r="D113" s="72" t="n">
        <v>7</v>
      </c>
      <c r="E113" s="51" t="s">
        <v>247</v>
      </c>
      <c r="F113" s="35" t="n">
        <f aca="false">IF(OR(B113="",E113&lt;&gt;"Yes"),"",IFERROR(INDEX(Clients!$F$6:$F$25,MATCH(B113,Clients!$B$6:$B$25,0)),""))</f>
        <v>135</v>
      </c>
      <c r="G113" s="73" t="n">
        <f aca="false">IF(AND(ISNUMBER(D113),ISNUMBER(F113)),D113*F113,"")</f>
        <v>945</v>
      </c>
      <c r="H113" s="51" t="s">
        <v>247</v>
      </c>
      <c r="I113" s="51"/>
    </row>
    <row r="114" customFormat="false" ht="15" hidden="false" customHeight="false" outlineLevel="0" collapsed="false">
      <c r="A114" s="65" t="n">
        <v>46129</v>
      </c>
      <c r="B114" s="51" t="s">
        <v>117</v>
      </c>
      <c r="C114" s="51" t="s">
        <v>249</v>
      </c>
      <c r="D114" s="72" t="n">
        <v>4</v>
      </c>
      <c r="E114" s="51" t="s">
        <v>250</v>
      </c>
      <c r="F114" s="35" t="str">
        <f aca="false">IF(OR(B114="",E114&lt;&gt;"Yes"),"",IFERROR(INDEX(Clients!$F$6:$F$25,MATCH(B114,Clients!$B$6:$B$25,0)),""))</f>
        <v/>
      </c>
      <c r="G114" s="73" t="str">
        <f aca="false">IF(AND(ISNUMBER(D114),ISNUMBER(F114)),D114*F114,"")</f>
        <v/>
      </c>
      <c r="H114" s="51" t="s">
        <v>250</v>
      </c>
      <c r="I114" s="51"/>
    </row>
    <row r="115" customFormat="false" ht="15" hidden="false" customHeight="false" outlineLevel="0" collapsed="false">
      <c r="A115" s="65" t="n">
        <v>46129</v>
      </c>
      <c r="B115" s="51" t="s">
        <v>117</v>
      </c>
      <c r="C115" s="51" t="s">
        <v>251</v>
      </c>
      <c r="D115" s="72" t="n">
        <v>1.75</v>
      </c>
      <c r="E115" s="51" t="s">
        <v>250</v>
      </c>
      <c r="F115" s="35" t="str">
        <f aca="false">IF(OR(B115="",E115&lt;&gt;"Yes"),"",IFERROR(INDEX(Clients!$F$6:$F$25,MATCH(B115,Clients!$B$6:$B$25,0)),""))</f>
        <v/>
      </c>
      <c r="G115" s="73" t="str">
        <f aca="false">IF(AND(ISNUMBER(D115),ISNUMBER(F115)),D115*F115,"")</f>
        <v/>
      </c>
      <c r="H115" s="51" t="s">
        <v>250</v>
      </c>
      <c r="I115" s="51"/>
    </row>
    <row r="116" customFormat="false" ht="15" hidden="false" customHeight="false" outlineLevel="0" collapsed="false">
      <c r="A116" s="65" t="n">
        <v>46129</v>
      </c>
      <c r="B116" s="51" t="s">
        <v>219</v>
      </c>
      <c r="C116" s="51" t="s">
        <v>264</v>
      </c>
      <c r="D116" s="72" t="n">
        <v>1</v>
      </c>
      <c r="E116" s="51" t="s">
        <v>247</v>
      </c>
      <c r="F116" s="35" t="n">
        <f aca="false">IF(OR(B116="",E116&lt;&gt;"Yes"),"",IFERROR(INDEX(Clients!$F$6:$F$25,MATCH(B116,Clients!$B$6:$B$25,0)),""))</f>
        <v>100</v>
      </c>
      <c r="G116" s="73" t="n">
        <f aca="false">IF(AND(ISNUMBER(D116),ISNUMBER(F116)),D116*F116,"")</f>
        <v>100</v>
      </c>
      <c r="H116" s="51" t="s">
        <v>247</v>
      </c>
      <c r="I116" s="51"/>
    </row>
    <row r="117" customFormat="false" ht="15" hidden="false" customHeight="false" outlineLevel="0" collapsed="false">
      <c r="A117" s="65" t="n">
        <v>46129</v>
      </c>
      <c r="B117" s="51" t="s">
        <v>210</v>
      </c>
      <c r="C117" s="51" t="s">
        <v>261</v>
      </c>
      <c r="D117" s="72" t="n">
        <v>4.5</v>
      </c>
      <c r="E117" s="51" t="s">
        <v>247</v>
      </c>
      <c r="F117" s="35" t="n">
        <f aca="false">IF(OR(B117="",E117&lt;&gt;"Yes"),"",IFERROR(INDEX(Clients!$F$6:$F$25,MATCH(B117,Clients!$B$6:$B$25,0)),""))</f>
        <v>135</v>
      </c>
      <c r="G117" s="73" t="n">
        <f aca="false">IF(AND(ISNUMBER(D117),ISNUMBER(F117)),D117*F117,"")</f>
        <v>607.5</v>
      </c>
      <c r="H117" s="51" t="s">
        <v>247</v>
      </c>
      <c r="I117" s="51"/>
    </row>
    <row r="118" customFormat="false" ht="15" hidden="false" customHeight="false" outlineLevel="0" collapsed="false">
      <c r="A118" s="65" t="n">
        <v>46129</v>
      </c>
      <c r="B118" s="51" t="s">
        <v>207</v>
      </c>
      <c r="C118" s="51" t="s">
        <v>252</v>
      </c>
      <c r="D118" s="72" t="n">
        <v>4.5</v>
      </c>
      <c r="E118" s="51" t="s">
        <v>247</v>
      </c>
      <c r="F118" s="35" t="n">
        <f aca="false">IF(OR(B118="",E118&lt;&gt;"Yes"),"",IFERROR(INDEX(Clients!$F$6:$F$25,MATCH(B118,Clients!$B$6:$B$25,0)),""))</f>
        <v>125</v>
      </c>
      <c r="G118" s="73" t="n">
        <f aca="false">IF(AND(ISNUMBER(D118),ISNUMBER(F118)),D118*F118,"")</f>
        <v>562.5</v>
      </c>
      <c r="H118" s="51" t="s">
        <v>247</v>
      </c>
      <c r="I118" s="51"/>
    </row>
    <row r="119" customFormat="false" ht="15" hidden="false" customHeight="false" outlineLevel="0" collapsed="false">
      <c r="A119" s="65" t="n">
        <v>46129</v>
      </c>
      <c r="B119" s="51" t="s">
        <v>216</v>
      </c>
      <c r="C119" s="51" t="s">
        <v>258</v>
      </c>
      <c r="D119" s="72" t="n">
        <v>2.25</v>
      </c>
      <c r="E119" s="51" t="s">
        <v>247</v>
      </c>
      <c r="F119" s="35" t="n">
        <f aca="false">IF(OR(B119="",E119&lt;&gt;"Yes"),"",IFERROR(INDEX(Clients!$F$6:$F$25,MATCH(B119,Clients!$B$6:$B$25,0)),""))</f>
        <v>100</v>
      </c>
      <c r="G119" s="73" t="n">
        <f aca="false">IF(AND(ISNUMBER(D119),ISNUMBER(F119)),D119*F119,"")</f>
        <v>225</v>
      </c>
      <c r="H119" s="51" t="s">
        <v>247</v>
      </c>
      <c r="I119" s="51"/>
    </row>
    <row r="120" customFormat="false" ht="15" hidden="false" customHeight="false" outlineLevel="0" collapsed="false">
      <c r="A120" s="65" t="n">
        <v>46136</v>
      </c>
      <c r="B120" s="51" t="s">
        <v>213</v>
      </c>
      <c r="C120" s="51" t="s">
        <v>246</v>
      </c>
      <c r="D120" s="72" t="n">
        <v>3.75</v>
      </c>
      <c r="E120" s="51" t="s">
        <v>247</v>
      </c>
      <c r="F120" s="35" t="n">
        <f aca="false">IF(OR(B120="",E120&lt;&gt;"Yes"),"",IFERROR(INDEX(Clients!$F$6:$F$25,MATCH(B120,Clients!$B$6:$B$25,0)),""))</f>
        <v>135</v>
      </c>
      <c r="G120" s="73" t="n">
        <f aca="false">IF(AND(ISNUMBER(D120),ISNUMBER(F120)),D120*F120,"")</f>
        <v>506.25</v>
      </c>
      <c r="H120" s="51" t="s">
        <v>247</v>
      </c>
      <c r="I120" s="51"/>
    </row>
    <row r="121" customFormat="false" ht="15" hidden="false" customHeight="false" outlineLevel="0" collapsed="false">
      <c r="A121" s="65" t="n">
        <v>46136</v>
      </c>
      <c r="B121" s="51" t="s">
        <v>204</v>
      </c>
      <c r="C121" s="51" t="s">
        <v>262</v>
      </c>
      <c r="D121" s="72" t="n">
        <v>6.25</v>
      </c>
      <c r="E121" s="51" t="s">
        <v>247</v>
      </c>
      <c r="F121" s="35" t="n">
        <f aca="false">IF(OR(B121="",E121&lt;&gt;"Yes"),"",IFERROR(INDEX(Clients!$F$6:$F$25,MATCH(B121,Clients!$B$6:$B$25,0)),""))</f>
        <v>135</v>
      </c>
      <c r="G121" s="73" t="n">
        <f aca="false">IF(AND(ISNUMBER(D121),ISNUMBER(F121)),D121*F121,"")</f>
        <v>843.75</v>
      </c>
      <c r="H121" s="51" t="s">
        <v>247</v>
      </c>
      <c r="I121" s="51"/>
    </row>
    <row r="122" customFormat="false" ht="15" hidden="false" customHeight="false" outlineLevel="0" collapsed="false">
      <c r="A122" s="65" t="n">
        <v>46136</v>
      </c>
      <c r="B122" s="51" t="s">
        <v>117</v>
      </c>
      <c r="C122" s="51" t="s">
        <v>249</v>
      </c>
      <c r="D122" s="72" t="n">
        <v>4.25</v>
      </c>
      <c r="E122" s="51" t="s">
        <v>250</v>
      </c>
      <c r="F122" s="35" t="str">
        <f aca="false">IF(OR(B122="",E122&lt;&gt;"Yes"),"",IFERROR(INDEX(Clients!$F$6:$F$25,MATCH(B122,Clients!$B$6:$B$25,0)),""))</f>
        <v/>
      </c>
      <c r="G122" s="73" t="str">
        <f aca="false">IF(AND(ISNUMBER(D122),ISNUMBER(F122)),D122*F122,"")</f>
        <v/>
      </c>
      <c r="H122" s="51" t="s">
        <v>250</v>
      </c>
      <c r="I122" s="51"/>
    </row>
    <row r="123" customFormat="false" ht="15" hidden="false" customHeight="false" outlineLevel="0" collapsed="false">
      <c r="A123" s="65" t="n">
        <v>46136</v>
      </c>
      <c r="B123" s="51" t="s">
        <v>117</v>
      </c>
      <c r="C123" s="51" t="s">
        <v>251</v>
      </c>
      <c r="D123" s="72" t="n">
        <v>2</v>
      </c>
      <c r="E123" s="51" t="s">
        <v>250</v>
      </c>
      <c r="F123" s="35" t="str">
        <f aca="false">IF(OR(B123="",E123&lt;&gt;"Yes"),"",IFERROR(INDEX(Clients!$F$6:$F$25,MATCH(B123,Clients!$B$6:$B$25,0)),""))</f>
        <v/>
      </c>
      <c r="G123" s="73" t="str">
        <f aca="false">IF(AND(ISNUMBER(D123),ISNUMBER(F123)),D123*F123,"")</f>
        <v/>
      </c>
      <c r="H123" s="51" t="s">
        <v>250</v>
      </c>
      <c r="I123" s="51"/>
    </row>
    <row r="124" customFormat="false" ht="15" hidden="false" customHeight="false" outlineLevel="0" collapsed="false">
      <c r="A124" s="65" t="n">
        <v>46136</v>
      </c>
      <c r="B124" s="51" t="s">
        <v>219</v>
      </c>
      <c r="C124" s="51" t="s">
        <v>264</v>
      </c>
      <c r="D124" s="72" t="n">
        <v>5.75</v>
      </c>
      <c r="E124" s="51" t="s">
        <v>247</v>
      </c>
      <c r="F124" s="35" t="n">
        <f aca="false">IF(OR(B124="",E124&lt;&gt;"Yes"),"",IFERROR(INDEX(Clients!$F$6:$F$25,MATCH(B124,Clients!$B$6:$B$25,0)),""))</f>
        <v>100</v>
      </c>
      <c r="G124" s="73" t="n">
        <f aca="false">IF(AND(ISNUMBER(D124),ISNUMBER(F124)),D124*F124,"")</f>
        <v>575</v>
      </c>
      <c r="H124" s="51" t="s">
        <v>247</v>
      </c>
      <c r="I124" s="51"/>
    </row>
    <row r="125" customFormat="false" ht="15" hidden="false" customHeight="false" outlineLevel="0" collapsed="false">
      <c r="A125" s="65" t="n">
        <v>46136</v>
      </c>
      <c r="B125" s="51" t="s">
        <v>210</v>
      </c>
      <c r="C125" s="51" t="s">
        <v>265</v>
      </c>
      <c r="D125" s="72" t="n">
        <v>4</v>
      </c>
      <c r="E125" s="51" t="s">
        <v>247</v>
      </c>
      <c r="F125" s="35" t="n">
        <f aca="false">IF(OR(B125="",E125&lt;&gt;"Yes"),"",IFERROR(INDEX(Clients!$F$6:$F$25,MATCH(B125,Clients!$B$6:$B$25,0)),""))</f>
        <v>135</v>
      </c>
      <c r="G125" s="73" t="n">
        <f aca="false">IF(AND(ISNUMBER(D125),ISNUMBER(F125)),D125*F125,"")</f>
        <v>540</v>
      </c>
      <c r="H125" s="51" t="s">
        <v>247</v>
      </c>
      <c r="I125" s="51"/>
    </row>
    <row r="126" customFormat="false" ht="15" hidden="false" customHeight="false" outlineLevel="0" collapsed="false">
      <c r="A126" s="65" t="n">
        <v>46136</v>
      </c>
      <c r="B126" s="51" t="s">
        <v>207</v>
      </c>
      <c r="C126" s="51" t="s">
        <v>252</v>
      </c>
      <c r="D126" s="72" t="n">
        <v>6</v>
      </c>
      <c r="E126" s="51" t="s">
        <v>247</v>
      </c>
      <c r="F126" s="35" t="n">
        <f aca="false">IF(OR(B126="",E126&lt;&gt;"Yes"),"",IFERROR(INDEX(Clients!$F$6:$F$25,MATCH(B126,Clients!$B$6:$B$25,0)),""))</f>
        <v>125</v>
      </c>
      <c r="G126" s="73" t="n">
        <f aca="false">IF(AND(ISNUMBER(D126),ISNUMBER(F126)),D126*F126,"")</f>
        <v>750</v>
      </c>
      <c r="H126" s="51" t="s">
        <v>247</v>
      </c>
      <c r="I126" s="51"/>
    </row>
    <row r="127" customFormat="false" ht="15" hidden="false" customHeight="false" outlineLevel="0" collapsed="false">
      <c r="A127" s="65" t="n">
        <v>46136</v>
      </c>
      <c r="B127" s="51" t="s">
        <v>216</v>
      </c>
      <c r="C127" s="51" t="s">
        <v>253</v>
      </c>
      <c r="D127" s="72" t="n">
        <v>2</v>
      </c>
      <c r="E127" s="51" t="s">
        <v>247</v>
      </c>
      <c r="F127" s="35" t="n">
        <f aca="false">IF(OR(B127="",E127&lt;&gt;"Yes"),"",IFERROR(INDEX(Clients!$F$6:$F$25,MATCH(B127,Clients!$B$6:$B$25,0)),""))</f>
        <v>100</v>
      </c>
      <c r="G127" s="73" t="n">
        <f aca="false">IF(AND(ISNUMBER(D127),ISNUMBER(F127)),D127*F127,"")</f>
        <v>200</v>
      </c>
      <c r="H127" s="51" t="s">
        <v>247</v>
      </c>
      <c r="I127" s="51"/>
    </row>
    <row r="128" customFormat="false" ht="15" hidden="false" customHeight="false" outlineLevel="0" collapsed="false">
      <c r="A128" s="65" t="n">
        <v>46143</v>
      </c>
      <c r="B128" s="51" t="s">
        <v>213</v>
      </c>
      <c r="C128" s="51" t="s">
        <v>256</v>
      </c>
      <c r="D128" s="72" t="n">
        <v>4</v>
      </c>
      <c r="E128" s="51" t="s">
        <v>247</v>
      </c>
      <c r="F128" s="35" t="n">
        <f aca="false">IF(OR(B128="",E128&lt;&gt;"Yes"),"",IFERROR(INDEX(Clients!$F$6:$F$25,MATCH(B128,Clients!$B$6:$B$25,0)),""))</f>
        <v>135</v>
      </c>
      <c r="G128" s="73" t="n">
        <f aca="false">IF(AND(ISNUMBER(D128),ISNUMBER(F128)),D128*F128,"")</f>
        <v>540</v>
      </c>
      <c r="H128" s="51" t="s">
        <v>247</v>
      </c>
      <c r="I128" s="51"/>
    </row>
    <row r="129" customFormat="false" ht="15" hidden="false" customHeight="false" outlineLevel="0" collapsed="false">
      <c r="A129" s="65" t="n">
        <v>46143</v>
      </c>
      <c r="B129" s="51" t="s">
        <v>204</v>
      </c>
      <c r="C129" s="51" t="s">
        <v>262</v>
      </c>
      <c r="D129" s="72" t="n">
        <v>7.5</v>
      </c>
      <c r="E129" s="51" t="s">
        <v>247</v>
      </c>
      <c r="F129" s="35" t="n">
        <f aca="false">IF(OR(B129="",E129&lt;&gt;"Yes"),"",IFERROR(INDEX(Clients!$F$6:$F$25,MATCH(B129,Clients!$B$6:$B$25,0)),""))</f>
        <v>135</v>
      </c>
      <c r="G129" s="73" t="n">
        <f aca="false">IF(AND(ISNUMBER(D129),ISNUMBER(F129)),D129*F129,"")</f>
        <v>1012.5</v>
      </c>
      <c r="H129" s="51" t="s">
        <v>247</v>
      </c>
      <c r="I129" s="51"/>
    </row>
    <row r="130" customFormat="false" ht="15" hidden="false" customHeight="false" outlineLevel="0" collapsed="false">
      <c r="A130" s="65" t="n">
        <v>46143</v>
      </c>
      <c r="B130" s="51" t="s">
        <v>117</v>
      </c>
      <c r="C130" s="51" t="s">
        <v>249</v>
      </c>
      <c r="D130" s="72" t="n">
        <v>4</v>
      </c>
      <c r="E130" s="51" t="s">
        <v>250</v>
      </c>
      <c r="F130" s="35" t="str">
        <f aca="false">IF(OR(B130="",E130&lt;&gt;"Yes"),"",IFERROR(INDEX(Clients!$F$6:$F$25,MATCH(B130,Clients!$B$6:$B$25,0)),""))</f>
        <v/>
      </c>
      <c r="G130" s="73" t="str">
        <f aca="false">IF(AND(ISNUMBER(D130),ISNUMBER(F130)),D130*F130,"")</f>
        <v/>
      </c>
      <c r="H130" s="51" t="s">
        <v>250</v>
      </c>
      <c r="I130" s="51"/>
    </row>
    <row r="131" customFormat="false" ht="15" hidden="false" customHeight="false" outlineLevel="0" collapsed="false">
      <c r="A131" s="65" t="n">
        <v>46143</v>
      </c>
      <c r="B131" s="51" t="s">
        <v>117</v>
      </c>
      <c r="C131" s="51" t="s">
        <v>251</v>
      </c>
      <c r="D131" s="72" t="n">
        <v>1.5</v>
      </c>
      <c r="E131" s="51" t="s">
        <v>250</v>
      </c>
      <c r="F131" s="35" t="str">
        <f aca="false">IF(OR(B131="",E131&lt;&gt;"Yes"),"",IFERROR(INDEX(Clients!$F$6:$F$25,MATCH(B131,Clients!$B$6:$B$25,0)),""))</f>
        <v/>
      </c>
      <c r="G131" s="73" t="str">
        <f aca="false">IF(AND(ISNUMBER(D131),ISNUMBER(F131)),D131*F131,"")</f>
        <v/>
      </c>
      <c r="H131" s="51" t="s">
        <v>250</v>
      </c>
      <c r="I131" s="51"/>
    </row>
    <row r="132" customFormat="false" ht="15" hidden="false" customHeight="false" outlineLevel="0" collapsed="false">
      <c r="A132" s="65" t="n">
        <v>46143</v>
      </c>
      <c r="B132" s="51" t="s">
        <v>219</v>
      </c>
      <c r="C132" s="51" t="s">
        <v>263</v>
      </c>
      <c r="D132" s="72" t="n">
        <v>10</v>
      </c>
      <c r="E132" s="51" t="s">
        <v>247</v>
      </c>
      <c r="F132" s="35" t="n">
        <f aca="false">IF(OR(B132="",E132&lt;&gt;"Yes"),"",IFERROR(INDEX(Clients!$F$6:$F$25,MATCH(B132,Clients!$B$6:$B$25,0)),""))</f>
        <v>100</v>
      </c>
      <c r="G132" s="73" t="n">
        <f aca="false">IF(AND(ISNUMBER(D132),ISNUMBER(F132)),D132*F132,"")</f>
        <v>1000</v>
      </c>
      <c r="H132" s="51" t="s">
        <v>247</v>
      </c>
      <c r="I132" s="51"/>
    </row>
    <row r="133" customFormat="false" ht="15" hidden="false" customHeight="false" outlineLevel="0" collapsed="false">
      <c r="A133" s="65" t="n">
        <v>46143</v>
      </c>
      <c r="B133" s="51" t="s">
        <v>210</v>
      </c>
      <c r="C133" s="51" t="s">
        <v>260</v>
      </c>
      <c r="D133" s="72" t="n">
        <v>5.75</v>
      </c>
      <c r="E133" s="51" t="s">
        <v>247</v>
      </c>
      <c r="F133" s="35" t="n">
        <f aca="false">IF(OR(B133="",E133&lt;&gt;"Yes"),"",IFERROR(INDEX(Clients!$F$6:$F$25,MATCH(B133,Clients!$B$6:$B$25,0)),""))</f>
        <v>135</v>
      </c>
      <c r="G133" s="73" t="n">
        <f aca="false">IF(AND(ISNUMBER(D133),ISNUMBER(F133)),D133*F133,"")</f>
        <v>776.25</v>
      </c>
      <c r="H133" s="51" t="s">
        <v>247</v>
      </c>
      <c r="I133" s="51"/>
    </row>
    <row r="134" customFormat="false" ht="15" hidden="false" customHeight="false" outlineLevel="0" collapsed="false">
      <c r="A134" s="65" t="n">
        <v>46143</v>
      </c>
      <c r="B134" s="51" t="s">
        <v>207</v>
      </c>
      <c r="C134" s="51" t="s">
        <v>255</v>
      </c>
      <c r="D134" s="72" t="n">
        <v>2.75</v>
      </c>
      <c r="E134" s="51" t="s">
        <v>247</v>
      </c>
      <c r="F134" s="35" t="n">
        <f aca="false">IF(OR(B134="",E134&lt;&gt;"Yes"),"",IFERROR(INDEX(Clients!$F$6:$F$25,MATCH(B134,Clients!$B$6:$B$25,0)),""))</f>
        <v>125</v>
      </c>
      <c r="G134" s="73" t="n">
        <f aca="false">IF(AND(ISNUMBER(D134),ISNUMBER(F134)),D134*F134,"")</f>
        <v>343.75</v>
      </c>
      <c r="H134" s="51" t="s">
        <v>247</v>
      </c>
      <c r="I134" s="51"/>
    </row>
    <row r="135" customFormat="false" ht="15" hidden="false" customHeight="false" outlineLevel="0" collapsed="false">
      <c r="A135" s="65" t="n">
        <v>46143</v>
      </c>
      <c r="B135" s="51" t="s">
        <v>216</v>
      </c>
      <c r="C135" s="51" t="s">
        <v>253</v>
      </c>
      <c r="D135" s="72" t="n">
        <v>1.5</v>
      </c>
      <c r="E135" s="51" t="s">
        <v>247</v>
      </c>
      <c r="F135" s="35" t="n">
        <f aca="false">IF(OR(B135="",E135&lt;&gt;"Yes"),"",IFERROR(INDEX(Clients!$F$6:$F$25,MATCH(B135,Clients!$B$6:$B$25,0)),""))</f>
        <v>100</v>
      </c>
      <c r="G135" s="73" t="n">
        <f aca="false">IF(AND(ISNUMBER(D135),ISNUMBER(F135)),D135*F135,"")</f>
        <v>150</v>
      </c>
      <c r="H135" s="51" t="s">
        <v>247</v>
      </c>
      <c r="I135" s="51"/>
    </row>
    <row r="136" customFormat="false" ht="15" hidden="false" customHeight="false" outlineLevel="0" collapsed="false">
      <c r="A136" s="65" t="n">
        <v>46150</v>
      </c>
      <c r="B136" s="51" t="s">
        <v>213</v>
      </c>
      <c r="C136" s="51" t="s">
        <v>246</v>
      </c>
      <c r="D136" s="72" t="n">
        <v>3.25</v>
      </c>
      <c r="E136" s="51" t="s">
        <v>247</v>
      </c>
      <c r="F136" s="35" t="n">
        <f aca="false">IF(OR(B136="",E136&lt;&gt;"Yes"),"",IFERROR(INDEX(Clients!$F$6:$F$25,MATCH(B136,Clients!$B$6:$B$25,0)),""))</f>
        <v>135</v>
      </c>
      <c r="G136" s="73" t="n">
        <f aca="false">IF(AND(ISNUMBER(D136),ISNUMBER(F136)),D136*F136,"")</f>
        <v>438.75</v>
      </c>
      <c r="H136" s="51" t="s">
        <v>247</v>
      </c>
      <c r="I136" s="51"/>
    </row>
    <row r="137" customFormat="false" ht="15" hidden="false" customHeight="false" outlineLevel="0" collapsed="false">
      <c r="A137" s="65" t="n">
        <v>46150</v>
      </c>
      <c r="B137" s="51" t="s">
        <v>204</v>
      </c>
      <c r="C137" s="51" t="s">
        <v>262</v>
      </c>
      <c r="D137" s="72" t="n">
        <v>3</v>
      </c>
      <c r="E137" s="51" t="s">
        <v>247</v>
      </c>
      <c r="F137" s="35" t="n">
        <f aca="false">IF(OR(B137="",E137&lt;&gt;"Yes"),"",IFERROR(INDEX(Clients!$F$6:$F$25,MATCH(B137,Clients!$B$6:$B$25,0)),""))</f>
        <v>135</v>
      </c>
      <c r="G137" s="73" t="n">
        <f aca="false">IF(AND(ISNUMBER(D137),ISNUMBER(F137)),D137*F137,"")</f>
        <v>405</v>
      </c>
      <c r="H137" s="51" t="s">
        <v>247</v>
      </c>
      <c r="I137" s="51"/>
    </row>
    <row r="138" customFormat="false" ht="15" hidden="false" customHeight="false" outlineLevel="0" collapsed="false">
      <c r="A138" s="65" t="n">
        <v>46150</v>
      </c>
      <c r="B138" s="51" t="s">
        <v>117</v>
      </c>
      <c r="C138" s="51" t="s">
        <v>249</v>
      </c>
      <c r="D138" s="72" t="n">
        <v>3</v>
      </c>
      <c r="E138" s="51" t="s">
        <v>250</v>
      </c>
      <c r="F138" s="35" t="str">
        <f aca="false">IF(OR(B138="",E138&lt;&gt;"Yes"),"",IFERROR(INDEX(Clients!$F$6:$F$25,MATCH(B138,Clients!$B$6:$B$25,0)),""))</f>
        <v/>
      </c>
      <c r="G138" s="73" t="str">
        <f aca="false">IF(AND(ISNUMBER(D138),ISNUMBER(F138)),D138*F138,"")</f>
        <v/>
      </c>
      <c r="H138" s="51" t="s">
        <v>250</v>
      </c>
      <c r="I138" s="51"/>
    </row>
    <row r="139" customFormat="false" ht="15" hidden="false" customHeight="false" outlineLevel="0" collapsed="false">
      <c r="A139" s="65" t="n">
        <v>46150</v>
      </c>
      <c r="B139" s="51" t="s">
        <v>117</v>
      </c>
      <c r="C139" s="51" t="s">
        <v>251</v>
      </c>
      <c r="D139" s="72" t="n">
        <v>2.25</v>
      </c>
      <c r="E139" s="51" t="s">
        <v>250</v>
      </c>
      <c r="F139" s="35" t="str">
        <f aca="false">IF(OR(B139="",E139&lt;&gt;"Yes"),"",IFERROR(INDEX(Clients!$F$6:$F$25,MATCH(B139,Clients!$B$6:$B$25,0)),""))</f>
        <v/>
      </c>
      <c r="G139" s="73" t="str">
        <f aca="false">IF(AND(ISNUMBER(D139),ISNUMBER(F139)),D139*F139,"")</f>
        <v/>
      </c>
      <c r="H139" s="51" t="s">
        <v>250</v>
      </c>
      <c r="I139" s="51"/>
    </row>
    <row r="140" customFormat="false" ht="15" hidden="false" customHeight="false" outlineLevel="0" collapsed="false">
      <c r="A140" s="65" t="n">
        <v>46150</v>
      </c>
      <c r="B140" s="51" t="s">
        <v>219</v>
      </c>
      <c r="C140" s="51" t="s">
        <v>263</v>
      </c>
      <c r="D140" s="72" t="n">
        <v>5.25</v>
      </c>
      <c r="E140" s="51" t="s">
        <v>247</v>
      </c>
      <c r="F140" s="35" t="n">
        <f aca="false">IF(OR(B140="",E140&lt;&gt;"Yes"),"",IFERROR(INDEX(Clients!$F$6:$F$25,MATCH(B140,Clients!$B$6:$B$25,0)),""))</f>
        <v>100</v>
      </c>
      <c r="G140" s="73" t="n">
        <f aca="false">IF(AND(ISNUMBER(D140),ISNUMBER(F140)),D140*F140,"")</f>
        <v>525</v>
      </c>
      <c r="H140" s="51" t="s">
        <v>247</v>
      </c>
      <c r="I140" s="51"/>
    </row>
    <row r="141" customFormat="false" ht="15" hidden="false" customHeight="false" outlineLevel="0" collapsed="false">
      <c r="A141" s="65" t="n">
        <v>46150</v>
      </c>
      <c r="B141" s="51" t="s">
        <v>210</v>
      </c>
      <c r="C141" s="51" t="s">
        <v>265</v>
      </c>
      <c r="D141" s="72" t="n">
        <v>4</v>
      </c>
      <c r="E141" s="51" t="s">
        <v>247</v>
      </c>
      <c r="F141" s="35" t="n">
        <f aca="false">IF(OR(B141="",E141&lt;&gt;"Yes"),"",IFERROR(INDEX(Clients!$F$6:$F$25,MATCH(B141,Clients!$B$6:$B$25,0)),""))</f>
        <v>135</v>
      </c>
      <c r="G141" s="73" t="n">
        <f aca="false">IF(AND(ISNUMBER(D141),ISNUMBER(F141)),D141*F141,"")</f>
        <v>540</v>
      </c>
      <c r="H141" s="51" t="s">
        <v>247</v>
      </c>
      <c r="I141" s="51"/>
    </row>
    <row r="142" customFormat="false" ht="15" hidden="false" customHeight="false" outlineLevel="0" collapsed="false">
      <c r="A142" s="65" t="n">
        <v>46150</v>
      </c>
      <c r="B142" s="51" t="s">
        <v>207</v>
      </c>
      <c r="C142" s="51" t="s">
        <v>259</v>
      </c>
      <c r="D142" s="72" t="n">
        <v>6.75</v>
      </c>
      <c r="E142" s="51" t="s">
        <v>247</v>
      </c>
      <c r="F142" s="35" t="n">
        <f aca="false">IF(OR(B142="",E142&lt;&gt;"Yes"),"",IFERROR(INDEX(Clients!$F$6:$F$25,MATCH(B142,Clients!$B$6:$B$25,0)),""))</f>
        <v>125</v>
      </c>
      <c r="G142" s="73" t="n">
        <f aca="false">IF(AND(ISNUMBER(D142),ISNUMBER(F142)),D142*F142,"")</f>
        <v>843.75</v>
      </c>
      <c r="H142" s="51" t="s">
        <v>247</v>
      </c>
      <c r="I142" s="51"/>
    </row>
    <row r="143" customFormat="false" ht="15" hidden="false" customHeight="false" outlineLevel="0" collapsed="false">
      <c r="A143" s="65" t="n">
        <v>46150</v>
      </c>
      <c r="B143" s="51" t="s">
        <v>216</v>
      </c>
      <c r="C143" s="51" t="s">
        <v>258</v>
      </c>
      <c r="D143" s="72" t="n">
        <v>2</v>
      </c>
      <c r="E143" s="51" t="s">
        <v>247</v>
      </c>
      <c r="F143" s="35" t="n">
        <f aca="false">IF(OR(B143="",E143&lt;&gt;"Yes"),"",IFERROR(INDEX(Clients!$F$6:$F$25,MATCH(B143,Clients!$B$6:$B$25,0)),""))</f>
        <v>100</v>
      </c>
      <c r="G143" s="73" t="n">
        <f aca="false">IF(AND(ISNUMBER(D143),ISNUMBER(F143)),D143*F143,"")</f>
        <v>200</v>
      </c>
      <c r="H143" s="51" t="s">
        <v>247</v>
      </c>
      <c r="I143" s="51"/>
    </row>
    <row r="144" customFormat="false" ht="15" hidden="false" customHeight="false" outlineLevel="0" collapsed="false">
      <c r="A144" s="65" t="n">
        <v>46157</v>
      </c>
      <c r="B144" s="51" t="s">
        <v>213</v>
      </c>
      <c r="C144" s="51" t="s">
        <v>254</v>
      </c>
      <c r="D144" s="72" t="n">
        <v>3.25</v>
      </c>
      <c r="E144" s="51" t="s">
        <v>247</v>
      </c>
      <c r="F144" s="35" t="n">
        <f aca="false">IF(OR(B144="",E144&lt;&gt;"Yes"),"",IFERROR(INDEX(Clients!$F$6:$F$25,MATCH(B144,Clients!$B$6:$B$25,0)),""))</f>
        <v>135</v>
      </c>
      <c r="G144" s="73" t="n">
        <f aca="false">IF(AND(ISNUMBER(D144),ISNUMBER(F144)),D144*F144,"")</f>
        <v>438.75</v>
      </c>
      <c r="H144" s="51" t="s">
        <v>247</v>
      </c>
      <c r="I144" s="51"/>
    </row>
    <row r="145" customFormat="false" ht="15" hidden="false" customHeight="false" outlineLevel="0" collapsed="false">
      <c r="A145" s="65" t="n">
        <v>46157</v>
      </c>
      <c r="B145" s="51" t="s">
        <v>204</v>
      </c>
      <c r="C145" s="51" t="s">
        <v>248</v>
      </c>
      <c r="D145" s="72" t="n">
        <v>6.25</v>
      </c>
      <c r="E145" s="51" t="s">
        <v>247</v>
      </c>
      <c r="F145" s="35" t="n">
        <f aca="false">IF(OR(B145="",E145&lt;&gt;"Yes"),"",IFERROR(INDEX(Clients!$F$6:$F$25,MATCH(B145,Clients!$B$6:$B$25,0)),""))</f>
        <v>135</v>
      </c>
      <c r="G145" s="73" t="n">
        <f aca="false">IF(AND(ISNUMBER(D145),ISNUMBER(F145)),D145*F145,"")</f>
        <v>843.75</v>
      </c>
      <c r="H145" s="51" t="s">
        <v>247</v>
      </c>
      <c r="I145" s="51"/>
    </row>
    <row r="146" customFormat="false" ht="15" hidden="false" customHeight="false" outlineLevel="0" collapsed="false">
      <c r="A146" s="65" t="n">
        <v>46157</v>
      </c>
      <c r="B146" s="51" t="s">
        <v>117</v>
      </c>
      <c r="C146" s="51" t="s">
        <v>249</v>
      </c>
      <c r="D146" s="72" t="n">
        <v>4</v>
      </c>
      <c r="E146" s="51" t="s">
        <v>250</v>
      </c>
      <c r="F146" s="35" t="str">
        <f aca="false">IF(OR(B146="",E146&lt;&gt;"Yes"),"",IFERROR(INDEX(Clients!$F$6:$F$25,MATCH(B146,Clients!$B$6:$B$25,0)),""))</f>
        <v/>
      </c>
      <c r="G146" s="73" t="str">
        <f aca="false">IF(AND(ISNUMBER(D146),ISNUMBER(F146)),D146*F146,"")</f>
        <v/>
      </c>
      <c r="H146" s="51" t="s">
        <v>250</v>
      </c>
      <c r="I146" s="51"/>
    </row>
    <row r="147" customFormat="false" ht="15" hidden="false" customHeight="false" outlineLevel="0" collapsed="false">
      <c r="A147" s="65" t="n">
        <v>46157</v>
      </c>
      <c r="B147" s="51" t="s">
        <v>117</v>
      </c>
      <c r="C147" s="51" t="s">
        <v>251</v>
      </c>
      <c r="D147" s="72" t="n">
        <v>2</v>
      </c>
      <c r="E147" s="51" t="s">
        <v>250</v>
      </c>
      <c r="F147" s="35" t="str">
        <f aca="false">IF(OR(B147="",E147&lt;&gt;"Yes"),"",IFERROR(INDEX(Clients!$F$6:$F$25,MATCH(B147,Clients!$B$6:$B$25,0)),""))</f>
        <v/>
      </c>
      <c r="G147" s="73" t="str">
        <f aca="false">IF(AND(ISNUMBER(D147),ISNUMBER(F147)),D147*F147,"")</f>
        <v/>
      </c>
      <c r="H147" s="51" t="s">
        <v>250</v>
      </c>
      <c r="I147" s="51"/>
    </row>
    <row r="148" customFormat="false" ht="15" hidden="false" customHeight="false" outlineLevel="0" collapsed="false">
      <c r="A148" s="65" t="n">
        <v>46157</v>
      </c>
      <c r="B148" s="51" t="s">
        <v>219</v>
      </c>
      <c r="C148" s="51" t="s">
        <v>264</v>
      </c>
      <c r="D148" s="72" t="n">
        <v>5.5</v>
      </c>
      <c r="E148" s="51" t="s">
        <v>247</v>
      </c>
      <c r="F148" s="35" t="n">
        <f aca="false">IF(OR(B148="",E148&lt;&gt;"Yes"),"",IFERROR(INDEX(Clients!$F$6:$F$25,MATCH(B148,Clients!$B$6:$B$25,0)),""))</f>
        <v>100</v>
      </c>
      <c r="G148" s="73" t="n">
        <f aca="false">IF(AND(ISNUMBER(D148),ISNUMBER(F148)),D148*F148,"")</f>
        <v>550</v>
      </c>
      <c r="H148" s="51" t="s">
        <v>247</v>
      </c>
      <c r="I148" s="51"/>
    </row>
    <row r="149" customFormat="false" ht="15" hidden="false" customHeight="false" outlineLevel="0" collapsed="false">
      <c r="A149" s="65" t="n">
        <v>46157</v>
      </c>
      <c r="B149" s="51" t="s">
        <v>210</v>
      </c>
      <c r="C149" s="51" t="s">
        <v>265</v>
      </c>
      <c r="D149" s="72" t="n">
        <v>4</v>
      </c>
      <c r="E149" s="51" t="s">
        <v>247</v>
      </c>
      <c r="F149" s="35" t="n">
        <f aca="false">IF(OR(B149="",E149&lt;&gt;"Yes"),"",IFERROR(INDEX(Clients!$F$6:$F$25,MATCH(B149,Clients!$B$6:$B$25,0)),""))</f>
        <v>135</v>
      </c>
      <c r="G149" s="73" t="n">
        <f aca="false">IF(AND(ISNUMBER(D149),ISNUMBER(F149)),D149*F149,"")</f>
        <v>540</v>
      </c>
      <c r="H149" s="51" t="s">
        <v>247</v>
      </c>
      <c r="I149" s="51"/>
    </row>
    <row r="150" customFormat="false" ht="15" hidden="false" customHeight="false" outlineLevel="0" collapsed="false">
      <c r="A150" s="65" t="n">
        <v>46157</v>
      </c>
      <c r="B150" s="51" t="s">
        <v>207</v>
      </c>
      <c r="C150" s="51" t="s">
        <v>252</v>
      </c>
      <c r="D150" s="72" t="n">
        <v>5.75</v>
      </c>
      <c r="E150" s="51" t="s">
        <v>247</v>
      </c>
      <c r="F150" s="35" t="n">
        <f aca="false">IF(OR(B150="",E150&lt;&gt;"Yes"),"",IFERROR(INDEX(Clients!$F$6:$F$25,MATCH(B150,Clients!$B$6:$B$25,0)),""))</f>
        <v>125</v>
      </c>
      <c r="G150" s="73" t="n">
        <f aca="false">IF(AND(ISNUMBER(D150),ISNUMBER(F150)),D150*F150,"")</f>
        <v>718.75</v>
      </c>
      <c r="H150" s="51" t="s">
        <v>247</v>
      </c>
      <c r="I150" s="51"/>
    </row>
    <row r="151" customFormat="false" ht="15" hidden="false" customHeight="false" outlineLevel="0" collapsed="false">
      <c r="A151" s="65" t="n">
        <v>46157</v>
      </c>
      <c r="B151" s="51" t="s">
        <v>216</v>
      </c>
      <c r="C151" s="51" t="s">
        <v>258</v>
      </c>
      <c r="D151" s="72" t="n">
        <v>0.5</v>
      </c>
      <c r="E151" s="51" t="s">
        <v>247</v>
      </c>
      <c r="F151" s="35" t="n">
        <f aca="false">IF(OR(B151="",E151&lt;&gt;"Yes"),"",IFERROR(INDEX(Clients!$F$6:$F$25,MATCH(B151,Clients!$B$6:$B$25,0)),""))</f>
        <v>100</v>
      </c>
      <c r="G151" s="73" t="n">
        <f aca="false">IF(AND(ISNUMBER(D151),ISNUMBER(F151)),D151*F151,"")</f>
        <v>50</v>
      </c>
      <c r="H151" s="51" t="s">
        <v>247</v>
      </c>
      <c r="I151" s="51"/>
    </row>
    <row r="152" customFormat="false" ht="15" hidden="false" customHeight="false" outlineLevel="0" collapsed="false">
      <c r="A152" s="65" t="n">
        <v>46164</v>
      </c>
      <c r="B152" s="51" t="s">
        <v>213</v>
      </c>
      <c r="C152" s="51" t="s">
        <v>256</v>
      </c>
      <c r="D152" s="72" t="n">
        <v>2.5</v>
      </c>
      <c r="E152" s="51" t="s">
        <v>247</v>
      </c>
      <c r="F152" s="35" t="n">
        <f aca="false">IF(OR(B152="",E152&lt;&gt;"Yes"),"",IFERROR(INDEX(Clients!$F$6:$F$25,MATCH(B152,Clients!$B$6:$B$25,0)),""))</f>
        <v>135</v>
      </c>
      <c r="G152" s="73" t="n">
        <f aca="false">IF(AND(ISNUMBER(D152),ISNUMBER(F152)),D152*F152,"")</f>
        <v>337.5</v>
      </c>
      <c r="H152" s="51" t="s">
        <v>247</v>
      </c>
      <c r="I152" s="51"/>
    </row>
    <row r="153" customFormat="false" ht="15" hidden="false" customHeight="false" outlineLevel="0" collapsed="false">
      <c r="A153" s="65" t="n">
        <v>46164</v>
      </c>
      <c r="B153" s="51" t="s">
        <v>204</v>
      </c>
      <c r="C153" s="51" t="s">
        <v>248</v>
      </c>
      <c r="D153" s="72" t="n">
        <v>7.25</v>
      </c>
      <c r="E153" s="51" t="s">
        <v>247</v>
      </c>
      <c r="F153" s="35" t="n">
        <f aca="false">IF(OR(B153="",E153&lt;&gt;"Yes"),"",IFERROR(INDEX(Clients!$F$6:$F$25,MATCH(B153,Clients!$B$6:$B$25,0)),""))</f>
        <v>135</v>
      </c>
      <c r="G153" s="73" t="n">
        <f aca="false">IF(AND(ISNUMBER(D153),ISNUMBER(F153)),D153*F153,"")</f>
        <v>978.75</v>
      </c>
      <c r="H153" s="51" t="s">
        <v>247</v>
      </c>
      <c r="I153" s="51"/>
    </row>
    <row r="154" customFormat="false" ht="15" hidden="false" customHeight="false" outlineLevel="0" collapsed="false">
      <c r="A154" s="65" t="n">
        <v>46164</v>
      </c>
      <c r="B154" s="51" t="s">
        <v>117</v>
      </c>
      <c r="C154" s="51" t="s">
        <v>249</v>
      </c>
      <c r="D154" s="72" t="n">
        <v>4</v>
      </c>
      <c r="E154" s="51" t="s">
        <v>250</v>
      </c>
      <c r="F154" s="35" t="str">
        <f aca="false">IF(OR(B154="",E154&lt;&gt;"Yes"),"",IFERROR(INDEX(Clients!$F$6:$F$25,MATCH(B154,Clients!$B$6:$B$25,0)),""))</f>
        <v/>
      </c>
      <c r="G154" s="73" t="str">
        <f aca="false">IF(AND(ISNUMBER(D154),ISNUMBER(F154)),D154*F154,"")</f>
        <v/>
      </c>
      <c r="H154" s="51" t="s">
        <v>250</v>
      </c>
      <c r="I154" s="51"/>
    </row>
    <row r="155" customFormat="false" ht="15" hidden="false" customHeight="false" outlineLevel="0" collapsed="false">
      <c r="A155" s="65" t="n">
        <v>46164</v>
      </c>
      <c r="B155" s="51" t="s">
        <v>117</v>
      </c>
      <c r="C155" s="51" t="s">
        <v>251</v>
      </c>
      <c r="D155" s="72" t="n">
        <v>2.25</v>
      </c>
      <c r="E155" s="51" t="s">
        <v>250</v>
      </c>
      <c r="F155" s="35" t="str">
        <f aca="false">IF(OR(B155="",E155&lt;&gt;"Yes"),"",IFERROR(INDEX(Clients!$F$6:$F$25,MATCH(B155,Clients!$B$6:$B$25,0)),""))</f>
        <v/>
      </c>
      <c r="G155" s="73" t="str">
        <f aca="false">IF(AND(ISNUMBER(D155),ISNUMBER(F155)),D155*F155,"")</f>
        <v/>
      </c>
      <c r="H155" s="51" t="s">
        <v>250</v>
      </c>
      <c r="I155" s="51"/>
    </row>
    <row r="156" customFormat="false" ht="15" hidden="false" customHeight="false" outlineLevel="0" collapsed="false">
      <c r="A156" s="65" t="n">
        <v>46164</v>
      </c>
      <c r="B156" s="51" t="s">
        <v>219</v>
      </c>
      <c r="C156" s="51" t="s">
        <v>263</v>
      </c>
      <c r="D156" s="72" t="n">
        <v>9.25</v>
      </c>
      <c r="E156" s="51" t="s">
        <v>247</v>
      </c>
      <c r="F156" s="35" t="n">
        <f aca="false">IF(OR(B156="",E156&lt;&gt;"Yes"),"",IFERROR(INDEX(Clients!$F$6:$F$25,MATCH(B156,Clients!$B$6:$B$25,0)),""))</f>
        <v>100</v>
      </c>
      <c r="G156" s="73" t="n">
        <f aca="false">IF(AND(ISNUMBER(D156),ISNUMBER(F156)),D156*F156,"")</f>
        <v>925</v>
      </c>
      <c r="H156" s="51" t="s">
        <v>247</v>
      </c>
      <c r="I156" s="51"/>
    </row>
    <row r="157" customFormat="false" ht="15" hidden="false" customHeight="false" outlineLevel="0" collapsed="false">
      <c r="A157" s="65" t="n">
        <v>46164</v>
      </c>
      <c r="B157" s="51" t="s">
        <v>210</v>
      </c>
      <c r="C157" s="51" t="s">
        <v>261</v>
      </c>
      <c r="D157" s="72" t="n">
        <v>4.75</v>
      </c>
      <c r="E157" s="51" t="s">
        <v>247</v>
      </c>
      <c r="F157" s="35" t="n">
        <f aca="false">IF(OR(B157="",E157&lt;&gt;"Yes"),"",IFERROR(INDEX(Clients!$F$6:$F$25,MATCH(B157,Clients!$B$6:$B$25,0)),""))</f>
        <v>135</v>
      </c>
      <c r="G157" s="73" t="n">
        <f aca="false">IF(AND(ISNUMBER(D157),ISNUMBER(F157)),D157*F157,"")</f>
        <v>641.25</v>
      </c>
      <c r="H157" s="51" t="s">
        <v>247</v>
      </c>
      <c r="I157" s="51"/>
    </row>
    <row r="158" customFormat="false" ht="15" hidden="false" customHeight="false" outlineLevel="0" collapsed="false">
      <c r="A158" s="65" t="n">
        <v>46164</v>
      </c>
      <c r="B158" s="51" t="s">
        <v>207</v>
      </c>
      <c r="C158" s="51" t="s">
        <v>255</v>
      </c>
      <c r="D158" s="72" t="n">
        <v>6</v>
      </c>
      <c r="E158" s="51" t="s">
        <v>247</v>
      </c>
      <c r="F158" s="35" t="n">
        <f aca="false">IF(OR(B158="",E158&lt;&gt;"Yes"),"",IFERROR(INDEX(Clients!$F$6:$F$25,MATCH(B158,Clients!$B$6:$B$25,0)),""))</f>
        <v>125</v>
      </c>
      <c r="G158" s="73" t="n">
        <f aca="false">IF(AND(ISNUMBER(D158),ISNUMBER(F158)),D158*F158,"")</f>
        <v>750</v>
      </c>
      <c r="H158" s="51" t="s">
        <v>247</v>
      </c>
      <c r="I158" s="51"/>
    </row>
    <row r="159" customFormat="false" ht="15" hidden="false" customHeight="false" outlineLevel="0" collapsed="false">
      <c r="A159" s="65" t="n">
        <v>46164</v>
      </c>
      <c r="B159" s="51" t="s">
        <v>216</v>
      </c>
      <c r="C159" s="51" t="s">
        <v>253</v>
      </c>
      <c r="D159" s="72" t="n">
        <v>2.25</v>
      </c>
      <c r="E159" s="51" t="s">
        <v>247</v>
      </c>
      <c r="F159" s="35" t="n">
        <f aca="false">IF(OR(B159="",E159&lt;&gt;"Yes"),"",IFERROR(INDEX(Clients!$F$6:$F$25,MATCH(B159,Clients!$B$6:$B$25,0)),""))</f>
        <v>100</v>
      </c>
      <c r="G159" s="73" t="n">
        <f aca="false">IF(AND(ISNUMBER(D159),ISNUMBER(F159)),D159*F159,"")</f>
        <v>225</v>
      </c>
      <c r="H159" s="51" t="s">
        <v>247</v>
      </c>
      <c r="I159" s="51"/>
    </row>
    <row r="160" customFormat="false" ht="15" hidden="false" customHeight="false" outlineLevel="0" collapsed="false">
      <c r="A160" s="65" t="n">
        <v>46171</v>
      </c>
      <c r="B160" s="51" t="s">
        <v>213</v>
      </c>
      <c r="C160" s="51" t="s">
        <v>256</v>
      </c>
      <c r="D160" s="72" t="n">
        <v>3</v>
      </c>
      <c r="E160" s="51" t="s">
        <v>247</v>
      </c>
      <c r="F160" s="35" t="n">
        <f aca="false">IF(OR(B160="",E160&lt;&gt;"Yes"),"",IFERROR(INDEX(Clients!$F$6:$F$25,MATCH(B160,Clients!$B$6:$B$25,0)),""))</f>
        <v>135</v>
      </c>
      <c r="G160" s="73" t="n">
        <f aca="false">IF(AND(ISNUMBER(D160),ISNUMBER(F160)),D160*F160,"")</f>
        <v>405</v>
      </c>
      <c r="H160" s="51" t="s">
        <v>247</v>
      </c>
      <c r="I160" s="51"/>
    </row>
    <row r="161" customFormat="false" ht="15" hidden="false" customHeight="false" outlineLevel="0" collapsed="false">
      <c r="A161" s="65" t="n">
        <v>46171</v>
      </c>
      <c r="B161" s="51" t="s">
        <v>204</v>
      </c>
      <c r="C161" s="51" t="s">
        <v>257</v>
      </c>
      <c r="D161" s="72" t="n">
        <v>6.25</v>
      </c>
      <c r="E161" s="51" t="s">
        <v>247</v>
      </c>
      <c r="F161" s="35" t="n">
        <f aca="false">IF(OR(B161="",E161&lt;&gt;"Yes"),"",IFERROR(INDEX(Clients!$F$6:$F$25,MATCH(B161,Clients!$B$6:$B$25,0)),""))</f>
        <v>135</v>
      </c>
      <c r="G161" s="73" t="n">
        <f aca="false">IF(AND(ISNUMBER(D161),ISNUMBER(F161)),D161*F161,"")</f>
        <v>843.75</v>
      </c>
      <c r="H161" s="51" t="s">
        <v>247</v>
      </c>
      <c r="I161" s="51"/>
    </row>
    <row r="162" customFormat="false" ht="15" hidden="false" customHeight="false" outlineLevel="0" collapsed="false">
      <c r="A162" s="65" t="n">
        <v>46171</v>
      </c>
      <c r="B162" s="51" t="s">
        <v>117</v>
      </c>
      <c r="C162" s="51" t="s">
        <v>249</v>
      </c>
      <c r="D162" s="72" t="n">
        <v>3.75</v>
      </c>
      <c r="E162" s="51" t="s">
        <v>250</v>
      </c>
      <c r="F162" s="35" t="str">
        <f aca="false">IF(OR(B162="",E162&lt;&gt;"Yes"),"",IFERROR(INDEX(Clients!$F$6:$F$25,MATCH(B162,Clients!$B$6:$B$25,0)),""))</f>
        <v/>
      </c>
      <c r="G162" s="73" t="str">
        <f aca="false">IF(AND(ISNUMBER(D162),ISNUMBER(F162)),D162*F162,"")</f>
        <v/>
      </c>
      <c r="H162" s="51" t="s">
        <v>250</v>
      </c>
      <c r="I162" s="51"/>
    </row>
    <row r="163" customFormat="false" ht="15" hidden="false" customHeight="false" outlineLevel="0" collapsed="false">
      <c r="A163" s="65" t="n">
        <v>46171</v>
      </c>
      <c r="B163" s="51" t="s">
        <v>117</v>
      </c>
      <c r="C163" s="51" t="s">
        <v>251</v>
      </c>
      <c r="D163" s="72" t="n">
        <v>1.75</v>
      </c>
      <c r="E163" s="51" t="s">
        <v>250</v>
      </c>
      <c r="F163" s="35" t="str">
        <f aca="false">IF(OR(B163="",E163&lt;&gt;"Yes"),"",IFERROR(INDEX(Clients!$F$6:$F$25,MATCH(B163,Clients!$B$6:$B$25,0)),""))</f>
        <v/>
      </c>
      <c r="G163" s="73" t="str">
        <f aca="false">IF(AND(ISNUMBER(D163),ISNUMBER(F163)),D163*F163,"")</f>
        <v/>
      </c>
      <c r="H163" s="51" t="s">
        <v>250</v>
      </c>
      <c r="I163" s="51"/>
    </row>
    <row r="164" customFormat="false" ht="15" hidden="false" customHeight="false" outlineLevel="0" collapsed="false">
      <c r="A164" s="65" t="n">
        <v>46171</v>
      </c>
      <c r="B164" s="51" t="s">
        <v>219</v>
      </c>
      <c r="C164" s="51" t="s">
        <v>266</v>
      </c>
      <c r="D164" s="72" t="n">
        <v>5.5</v>
      </c>
      <c r="E164" s="51" t="s">
        <v>247</v>
      </c>
      <c r="F164" s="35" t="n">
        <f aca="false">IF(OR(B164="",E164&lt;&gt;"Yes"),"",IFERROR(INDEX(Clients!$F$6:$F$25,MATCH(B164,Clients!$B$6:$B$25,0)),""))</f>
        <v>100</v>
      </c>
      <c r="G164" s="73" t="n">
        <f aca="false">IF(AND(ISNUMBER(D164),ISNUMBER(F164)),D164*F164,"")</f>
        <v>550</v>
      </c>
      <c r="H164" s="51" t="s">
        <v>247</v>
      </c>
      <c r="I164" s="51"/>
    </row>
    <row r="165" customFormat="false" ht="15" hidden="false" customHeight="false" outlineLevel="0" collapsed="false">
      <c r="A165" s="65" t="n">
        <v>46171</v>
      </c>
      <c r="B165" s="51" t="s">
        <v>210</v>
      </c>
      <c r="C165" s="51" t="s">
        <v>260</v>
      </c>
      <c r="D165" s="72" t="n">
        <v>3.25</v>
      </c>
      <c r="E165" s="51" t="s">
        <v>247</v>
      </c>
      <c r="F165" s="35" t="n">
        <f aca="false">IF(OR(B165="",E165&lt;&gt;"Yes"),"",IFERROR(INDEX(Clients!$F$6:$F$25,MATCH(B165,Clients!$B$6:$B$25,0)),""))</f>
        <v>135</v>
      </c>
      <c r="G165" s="73" t="n">
        <f aca="false">IF(AND(ISNUMBER(D165),ISNUMBER(F165)),D165*F165,"")</f>
        <v>438.75</v>
      </c>
      <c r="H165" s="51" t="s">
        <v>247</v>
      </c>
      <c r="I165" s="51"/>
    </row>
    <row r="166" customFormat="false" ht="15" hidden="false" customHeight="false" outlineLevel="0" collapsed="false">
      <c r="A166" s="65" t="n">
        <v>46171</v>
      </c>
      <c r="B166" s="51" t="s">
        <v>207</v>
      </c>
      <c r="C166" s="51" t="s">
        <v>255</v>
      </c>
      <c r="D166" s="72" t="n">
        <v>5.25</v>
      </c>
      <c r="E166" s="51" t="s">
        <v>247</v>
      </c>
      <c r="F166" s="35" t="n">
        <f aca="false">IF(OR(B166="",E166&lt;&gt;"Yes"),"",IFERROR(INDEX(Clients!$F$6:$F$25,MATCH(B166,Clients!$B$6:$B$25,0)),""))</f>
        <v>125</v>
      </c>
      <c r="G166" s="73" t="n">
        <f aca="false">IF(AND(ISNUMBER(D166),ISNUMBER(F166)),D166*F166,"")</f>
        <v>656.25</v>
      </c>
      <c r="H166" s="51" t="s">
        <v>247</v>
      </c>
      <c r="I166" s="51"/>
    </row>
    <row r="167" customFormat="false" ht="15" hidden="false" customHeight="false" outlineLevel="0" collapsed="false">
      <c r="A167" s="65" t="n">
        <v>46171</v>
      </c>
      <c r="B167" s="51" t="s">
        <v>216</v>
      </c>
      <c r="C167" s="51" t="s">
        <v>258</v>
      </c>
      <c r="D167" s="72" t="n">
        <v>2.25</v>
      </c>
      <c r="E167" s="51" t="s">
        <v>247</v>
      </c>
      <c r="F167" s="35" t="n">
        <f aca="false">IF(OR(B167="",E167&lt;&gt;"Yes"),"",IFERROR(INDEX(Clients!$F$6:$F$25,MATCH(B167,Clients!$B$6:$B$25,0)),""))</f>
        <v>100</v>
      </c>
      <c r="G167" s="73" t="n">
        <f aca="false">IF(AND(ISNUMBER(D167),ISNUMBER(F167)),D167*F167,"")</f>
        <v>225</v>
      </c>
      <c r="H167" s="51" t="s">
        <v>247</v>
      </c>
      <c r="I167" s="51"/>
    </row>
    <row r="168" customFormat="false" ht="15" hidden="false" customHeight="false" outlineLevel="0" collapsed="false">
      <c r="A168" s="65" t="n">
        <v>46178</v>
      </c>
      <c r="B168" s="51" t="s">
        <v>213</v>
      </c>
      <c r="C168" s="51" t="s">
        <v>256</v>
      </c>
      <c r="D168" s="72" t="n">
        <v>3.75</v>
      </c>
      <c r="E168" s="51" t="s">
        <v>247</v>
      </c>
      <c r="F168" s="35" t="n">
        <f aca="false">IF(OR(B168="",E168&lt;&gt;"Yes"),"",IFERROR(INDEX(Clients!$F$6:$F$25,MATCH(B168,Clients!$B$6:$B$25,0)),""))</f>
        <v>135</v>
      </c>
      <c r="G168" s="73" t="n">
        <f aca="false">IF(AND(ISNUMBER(D168),ISNUMBER(F168)),D168*F168,"")</f>
        <v>506.25</v>
      </c>
      <c r="H168" s="51" t="s">
        <v>247</v>
      </c>
      <c r="I168" s="51"/>
    </row>
    <row r="169" customFormat="false" ht="15" hidden="false" customHeight="false" outlineLevel="0" collapsed="false">
      <c r="A169" s="65" t="n">
        <v>46178</v>
      </c>
      <c r="B169" s="51" t="s">
        <v>204</v>
      </c>
      <c r="C169" s="51" t="s">
        <v>262</v>
      </c>
      <c r="D169" s="72" t="n">
        <v>4.5</v>
      </c>
      <c r="E169" s="51" t="s">
        <v>247</v>
      </c>
      <c r="F169" s="35" t="n">
        <f aca="false">IF(OR(B169="",E169&lt;&gt;"Yes"),"",IFERROR(INDEX(Clients!$F$6:$F$25,MATCH(B169,Clients!$B$6:$B$25,0)),""))</f>
        <v>135</v>
      </c>
      <c r="G169" s="73" t="n">
        <f aca="false">IF(AND(ISNUMBER(D169),ISNUMBER(F169)),D169*F169,"")</f>
        <v>607.5</v>
      </c>
      <c r="H169" s="51" t="s">
        <v>247</v>
      </c>
      <c r="I169" s="51"/>
    </row>
    <row r="170" customFormat="false" ht="15" hidden="false" customHeight="false" outlineLevel="0" collapsed="false">
      <c r="A170" s="65" t="n">
        <v>46178</v>
      </c>
      <c r="B170" s="51" t="s">
        <v>117</v>
      </c>
      <c r="C170" s="51" t="s">
        <v>249</v>
      </c>
      <c r="D170" s="72" t="n">
        <v>3.25</v>
      </c>
      <c r="E170" s="51" t="s">
        <v>250</v>
      </c>
      <c r="F170" s="35" t="str">
        <f aca="false">IF(OR(B170="",E170&lt;&gt;"Yes"),"",IFERROR(INDEX(Clients!$F$6:$F$25,MATCH(B170,Clients!$B$6:$B$25,0)),""))</f>
        <v/>
      </c>
      <c r="G170" s="73" t="str">
        <f aca="false">IF(AND(ISNUMBER(D170),ISNUMBER(F170)),D170*F170,"")</f>
        <v/>
      </c>
      <c r="H170" s="51" t="s">
        <v>250</v>
      </c>
      <c r="I170" s="51"/>
    </row>
    <row r="171" customFormat="false" ht="15" hidden="false" customHeight="false" outlineLevel="0" collapsed="false">
      <c r="A171" s="65" t="n">
        <v>46178</v>
      </c>
      <c r="B171" s="51" t="s">
        <v>117</v>
      </c>
      <c r="C171" s="51" t="s">
        <v>251</v>
      </c>
      <c r="D171" s="72" t="n">
        <v>2.25</v>
      </c>
      <c r="E171" s="51" t="s">
        <v>250</v>
      </c>
      <c r="F171" s="35" t="str">
        <f aca="false">IF(OR(B171="",E171&lt;&gt;"Yes"),"",IFERROR(INDEX(Clients!$F$6:$F$25,MATCH(B171,Clients!$B$6:$B$25,0)),""))</f>
        <v/>
      </c>
      <c r="G171" s="73" t="str">
        <f aca="false">IF(AND(ISNUMBER(D171),ISNUMBER(F171)),D171*F171,"")</f>
        <v/>
      </c>
      <c r="H171" s="51" t="s">
        <v>250</v>
      </c>
      <c r="I171" s="51"/>
    </row>
    <row r="172" customFormat="false" ht="15" hidden="false" customHeight="false" outlineLevel="0" collapsed="false">
      <c r="A172" s="65" t="n">
        <v>46178</v>
      </c>
      <c r="B172" s="51" t="s">
        <v>222</v>
      </c>
      <c r="C172" s="51" t="s">
        <v>267</v>
      </c>
      <c r="D172" s="72" t="n">
        <v>3.25</v>
      </c>
      <c r="E172" s="51" t="s">
        <v>247</v>
      </c>
      <c r="F172" s="35" t="n">
        <f aca="false">IF(OR(B172="",E172&lt;&gt;"Yes"),"",IFERROR(INDEX(Clients!$F$6:$F$25,MATCH(B172,Clients!$B$6:$B$25,0)),""))</f>
        <v>160</v>
      </c>
      <c r="G172" s="73" t="n">
        <f aca="false">IF(AND(ISNUMBER(D172),ISNUMBER(F172)),D172*F172,"")</f>
        <v>520</v>
      </c>
      <c r="H172" s="51" t="s">
        <v>247</v>
      </c>
      <c r="I172" s="51"/>
    </row>
    <row r="173" customFormat="false" ht="15" hidden="false" customHeight="false" outlineLevel="0" collapsed="false">
      <c r="A173" s="65" t="n">
        <v>46178</v>
      </c>
      <c r="B173" s="51" t="s">
        <v>210</v>
      </c>
      <c r="C173" s="51" t="s">
        <v>265</v>
      </c>
      <c r="D173" s="72" t="n">
        <v>3.25</v>
      </c>
      <c r="E173" s="51" t="s">
        <v>247</v>
      </c>
      <c r="F173" s="35" t="n">
        <f aca="false">IF(OR(B173="",E173&lt;&gt;"Yes"),"",IFERROR(INDEX(Clients!$F$6:$F$25,MATCH(B173,Clients!$B$6:$B$25,0)),""))</f>
        <v>135</v>
      </c>
      <c r="G173" s="73" t="n">
        <f aca="false">IF(AND(ISNUMBER(D173),ISNUMBER(F173)),D173*F173,"")</f>
        <v>438.75</v>
      </c>
      <c r="H173" s="51" t="s">
        <v>247</v>
      </c>
      <c r="I173" s="51"/>
    </row>
    <row r="174" customFormat="false" ht="15" hidden="false" customHeight="false" outlineLevel="0" collapsed="false">
      <c r="A174" s="65" t="n">
        <v>46178</v>
      </c>
      <c r="B174" s="51" t="s">
        <v>207</v>
      </c>
      <c r="C174" s="51" t="s">
        <v>259</v>
      </c>
      <c r="D174" s="72" t="n">
        <v>2.25</v>
      </c>
      <c r="E174" s="51" t="s">
        <v>247</v>
      </c>
      <c r="F174" s="35" t="n">
        <f aca="false">IF(OR(B174="",E174&lt;&gt;"Yes"),"",IFERROR(INDEX(Clients!$F$6:$F$25,MATCH(B174,Clients!$B$6:$B$25,0)),""))</f>
        <v>125</v>
      </c>
      <c r="G174" s="73" t="n">
        <f aca="false">IF(AND(ISNUMBER(D174),ISNUMBER(F174)),D174*F174,"")</f>
        <v>281.25</v>
      </c>
      <c r="H174" s="51" t="s">
        <v>247</v>
      </c>
      <c r="I174" s="51"/>
    </row>
    <row r="175" customFormat="false" ht="15" hidden="false" customHeight="false" outlineLevel="0" collapsed="false">
      <c r="A175" s="65" t="n">
        <v>46178</v>
      </c>
      <c r="B175" s="51" t="s">
        <v>216</v>
      </c>
      <c r="C175" s="51" t="s">
        <v>253</v>
      </c>
      <c r="D175" s="72" t="n">
        <v>1.5</v>
      </c>
      <c r="E175" s="51" t="s">
        <v>247</v>
      </c>
      <c r="F175" s="35" t="n">
        <f aca="false">IF(OR(B175="",E175&lt;&gt;"Yes"),"",IFERROR(INDEX(Clients!$F$6:$F$25,MATCH(B175,Clients!$B$6:$B$25,0)),""))</f>
        <v>100</v>
      </c>
      <c r="G175" s="73" t="n">
        <f aca="false">IF(AND(ISNUMBER(D175),ISNUMBER(F175)),D175*F175,"")</f>
        <v>150</v>
      </c>
      <c r="H175" s="51" t="s">
        <v>247</v>
      </c>
      <c r="I175" s="51"/>
    </row>
    <row r="176" customFormat="false" ht="15" hidden="false" customHeight="false" outlineLevel="0" collapsed="false">
      <c r="A176" s="65" t="n">
        <v>46185</v>
      </c>
      <c r="B176" s="51" t="s">
        <v>213</v>
      </c>
      <c r="C176" s="51" t="s">
        <v>254</v>
      </c>
      <c r="D176" s="72" t="n">
        <v>4</v>
      </c>
      <c r="E176" s="51" t="s">
        <v>247</v>
      </c>
      <c r="F176" s="35" t="n">
        <f aca="false">IF(OR(B176="",E176&lt;&gt;"Yes"),"",IFERROR(INDEX(Clients!$F$6:$F$25,MATCH(B176,Clients!$B$6:$B$25,0)),""))</f>
        <v>135</v>
      </c>
      <c r="G176" s="73" t="n">
        <f aca="false">IF(AND(ISNUMBER(D176),ISNUMBER(F176)),D176*F176,"")</f>
        <v>540</v>
      </c>
      <c r="H176" s="51" t="s">
        <v>247</v>
      </c>
      <c r="I176" s="51"/>
    </row>
    <row r="177" customFormat="false" ht="15" hidden="false" customHeight="false" outlineLevel="0" collapsed="false">
      <c r="A177" s="65" t="n">
        <v>46185</v>
      </c>
      <c r="B177" s="51" t="s">
        <v>204</v>
      </c>
      <c r="C177" s="51" t="s">
        <v>262</v>
      </c>
      <c r="D177" s="72" t="n">
        <v>8</v>
      </c>
      <c r="E177" s="51" t="s">
        <v>247</v>
      </c>
      <c r="F177" s="35" t="n">
        <f aca="false">IF(OR(B177="",E177&lt;&gt;"Yes"),"",IFERROR(INDEX(Clients!$F$6:$F$25,MATCH(B177,Clients!$B$6:$B$25,0)),""))</f>
        <v>135</v>
      </c>
      <c r="G177" s="73" t="n">
        <f aca="false">IF(AND(ISNUMBER(D177),ISNUMBER(F177)),D177*F177,"")</f>
        <v>1080</v>
      </c>
      <c r="H177" s="51" t="s">
        <v>247</v>
      </c>
      <c r="I177" s="51"/>
    </row>
    <row r="178" customFormat="false" ht="15" hidden="false" customHeight="false" outlineLevel="0" collapsed="false">
      <c r="A178" s="65" t="n">
        <v>46185</v>
      </c>
      <c r="B178" s="51" t="s">
        <v>117</v>
      </c>
      <c r="C178" s="51" t="s">
        <v>249</v>
      </c>
      <c r="D178" s="72" t="n">
        <v>4.25</v>
      </c>
      <c r="E178" s="51" t="s">
        <v>250</v>
      </c>
      <c r="F178" s="35" t="str">
        <f aca="false">IF(OR(B178="",E178&lt;&gt;"Yes"),"",IFERROR(INDEX(Clients!$F$6:$F$25,MATCH(B178,Clients!$B$6:$B$25,0)),""))</f>
        <v/>
      </c>
      <c r="G178" s="73" t="str">
        <f aca="false">IF(AND(ISNUMBER(D178),ISNUMBER(F178)),D178*F178,"")</f>
        <v/>
      </c>
      <c r="H178" s="51" t="s">
        <v>250</v>
      </c>
      <c r="I178" s="51"/>
    </row>
    <row r="179" customFormat="false" ht="15" hidden="false" customHeight="false" outlineLevel="0" collapsed="false">
      <c r="A179" s="65" t="n">
        <v>46185</v>
      </c>
      <c r="B179" s="51" t="s">
        <v>117</v>
      </c>
      <c r="C179" s="51" t="s">
        <v>251</v>
      </c>
      <c r="D179" s="72" t="n">
        <v>2.25</v>
      </c>
      <c r="E179" s="51" t="s">
        <v>250</v>
      </c>
      <c r="F179" s="35" t="str">
        <f aca="false">IF(OR(B179="",E179&lt;&gt;"Yes"),"",IFERROR(INDEX(Clients!$F$6:$F$25,MATCH(B179,Clients!$B$6:$B$25,0)),""))</f>
        <v/>
      </c>
      <c r="G179" s="73" t="str">
        <f aca="false">IF(AND(ISNUMBER(D179),ISNUMBER(F179)),D179*F179,"")</f>
        <v/>
      </c>
      <c r="H179" s="51" t="s">
        <v>250</v>
      </c>
      <c r="I179" s="51"/>
    </row>
    <row r="180" customFormat="false" ht="15" hidden="false" customHeight="false" outlineLevel="0" collapsed="false">
      <c r="A180" s="65" t="n">
        <v>46185</v>
      </c>
      <c r="B180" s="51" t="s">
        <v>222</v>
      </c>
      <c r="C180" s="51" t="s">
        <v>268</v>
      </c>
      <c r="D180" s="72" t="n">
        <v>2.25</v>
      </c>
      <c r="E180" s="51" t="s">
        <v>247</v>
      </c>
      <c r="F180" s="35" t="n">
        <f aca="false">IF(OR(B180="",E180&lt;&gt;"Yes"),"",IFERROR(INDEX(Clients!$F$6:$F$25,MATCH(B180,Clients!$B$6:$B$25,0)),""))</f>
        <v>160</v>
      </c>
      <c r="G180" s="73" t="n">
        <f aca="false">IF(AND(ISNUMBER(D180),ISNUMBER(F180)),D180*F180,"")</f>
        <v>360</v>
      </c>
      <c r="H180" s="51" t="s">
        <v>247</v>
      </c>
      <c r="I180" s="51"/>
    </row>
    <row r="181" customFormat="false" ht="15" hidden="false" customHeight="false" outlineLevel="0" collapsed="false">
      <c r="A181" s="65" t="n">
        <v>46185</v>
      </c>
      <c r="B181" s="51" t="s">
        <v>210</v>
      </c>
      <c r="C181" s="51" t="s">
        <v>265</v>
      </c>
      <c r="D181" s="72" t="n">
        <v>2.75</v>
      </c>
      <c r="E181" s="51" t="s">
        <v>247</v>
      </c>
      <c r="F181" s="35" t="n">
        <f aca="false">IF(OR(B181="",E181&lt;&gt;"Yes"),"",IFERROR(INDEX(Clients!$F$6:$F$25,MATCH(B181,Clients!$B$6:$B$25,0)),""))</f>
        <v>135</v>
      </c>
      <c r="G181" s="73" t="n">
        <f aca="false">IF(AND(ISNUMBER(D181),ISNUMBER(F181)),D181*F181,"")</f>
        <v>371.25</v>
      </c>
      <c r="H181" s="51" t="s">
        <v>247</v>
      </c>
      <c r="I181" s="51"/>
    </row>
    <row r="182" customFormat="false" ht="15" hidden="false" customHeight="false" outlineLevel="0" collapsed="false">
      <c r="A182" s="65" t="n">
        <v>46185</v>
      </c>
      <c r="B182" s="51" t="s">
        <v>207</v>
      </c>
      <c r="C182" s="51" t="s">
        <v>252</v>
      </c>
      <c r="D182" s="72" t="n">
        <v>4.5</v>
      </c>
      <c r="E182" s="51" t="s">
        <v>247</v>
      </c>
      <c r="F182" s="35" t="n">
        <f aca="false">IF(OR(B182="",E182&lt;&gt;"Yes"),"",IFERROR(INDEX(Clients!$F$6:$F$25,MATCH(B182,Clients!$B$6:$B$25,0)),""))</f>
        <v>125</v>
      </c>
      <c r="G182" s="73" t="n">
        <f aca="false">IF(AND(ISNUMBER(D182),ISNUMBER(F182)),D182*F182,"")</f>
        <v>562.5</v>
      </c>
      <c r="H182" s="51" t="s">
        <v>247</v>
      </c>
      <c r="I182" s="51"/>
    </row>
    <row r="183" customFormat="false" ht="15" hidden="false" customHeight="false" outlineLevel="0" collapsed="false">
      <c r="A183" s="65" t="n">
        <v>46185</v>
      </c>
      <c r="B183" s="51" t="s">
        <v>216</v>
      </c>
      <c r="C183" s="51" t="s">
        <v>258</v>
      </c>
      <c r="D183" s="72" t="n">
        <v>2.5</v>
      </c>
      <c r="E183" s="51" t="s">
        <v>247</v>
      </c>
      <c r="F183" s="35" t="n">
        <f aca="false">IF(OR(B183="",E183&lt;&gt;"Yes"),"",IFERROR(INDEX(Clients!$F$6:$F$25,MATCH(B183,Clients!$B$6:$B$25,0)),""))</f>
        <v>100</v>
      </c>
      <c r="G183" s="73" t="n">
        <f aca="false">IF(AND(ISNUMBER(D183),ISNUMBER(F183)),D183*F183,"")</f>
        <v>250</v>
      </c>
      <c r="H183" s="51" t="s">
        <v>247</v>
      </c>
      <c r="I183" s="51"/>
    </row>
    <row r="184" customFormat="false" ht="15" hidden="false" customHeight="false" outlineLevel="0" collapsed="false">
      <c r="A184" s="65" t="n">
        <v>46192</v>
      </c>
      <c r="B184" s="51" t="s">
        <v>213</v>
      </c>
      <c r="C184" s="51" t="s">
        <v>254</v>
      </c>
      <c r="D184" s="72" t="n">
        <v>3.25</v>
      </c>
      <c r="E184" s="51" t="s">
        <v>247</v>
      </c>
      <c r="F184" s="35" t="n">
        <f aca="false">IF(OR(B184="",E184&lt;&gt;"Yes"),"",IFERROR(INDEX(Clients!$F$6:$F$25,MATCH(B184,Clients!$B$6:$B$25,0)),""))</f>
        <v>135</v>
      </c>
      <c r="G184" s="73" t="n">
        <f aca="false">IF(AND(ISNUMBER(D184),ISNUMBER(F184)),D184*F184,"")</f>
        <v>438.75</v>
      </c>
      <c r="H184" s="51" t="s">
        <v>247</v>
      </c>
      <c r="I184" s="51"/>
    </row>
    <row r="185" customFormat="false" ht="15" hidden="false" customHeight="false" outlineLevel="0" collapsed="false">
      <c r="A185" s="65" t="n">
        <v>46192</v>
      </c>
      <c r="B185" s="51" t="s">
        <v>204</v>
      </c>
      <c r="C185" s="51" t="s">
        <v>248</v>
      </c>
      <c r="D185" s="72" t="n">
        <v>6</v>
      </c>
      <c r="E185" s="51" t="s">
        <v>247</v>
      </c>
      <c r="F185" s="35" t="n">
        <f aca="false">IF(OR(B185="",E185&lt;&gt;"Yes"),"",IFERROR(INDEX(Clients!$F$6:$F$25,MATCH(B185,Clients!$B$6:$B$25,0)),""))</f>
        <v>135</v>
      </c>
      <c r="G185" s="73" t="n">
        <f aca="false">IF(AND(ISNUMBER(D185),ISNUMBER(F185)),D185*F185,"")</f>
        <v>810</v>
      </c>
      <c r="H185" s="51" t="s">
        <v>247</v>
      </c>
      <c r="I185" s="51"/>
    </row>
    <row r="186" customFormat="false" ht="15" hidden="false" customHeight="false" outlineLevel="0" collapsed="false">
      <c r="A186" s="65" t="n">
        <v>46192</v>
      </c>
      <c r="B186" s="51" t="s">
        <v>117</v>
      </c>
      <c r="C186" s="51" t="s">
        <v>249</v>
      </c>
      <c r="D186" s="72" t="n">
        <v>3.75</v>
      </c>
      <c r="E186" s="51" t="s">
        <v>250</v>
      </c>
      <c r="F186" s="35" t="str">
        <f aca="false">IF(OR(B186="",E186&lt;&gt;"Yes"),"",IFERROR(INDEX(Clients!$F$6:$F$25,MATCH(B186,Clients!$B$6:$B$25,0)),""))</f>
        <v/>
      </c>
      <c r="G186" s="73" t="str">
        <f aca="false">IF(AND(ISNUMBER(D186),ISNUMBER(F186)),D186*F186,"")</f>
        <v/>
      </c>
      <c r="H186" s="51" t="s">
        <v>250</v>
      </c>
      <c r="I186" s="51"/>
    </row>
    <row r="187" customFormat="false" ht="15" hidden="false" customHeight="false" outlineLevel="0" collapsed="false">
      <c r="A187" s="65" t="n">
        <v>46192</v>
      </c>
      <c r="B187" s="51" t="s">
        <v>117</v>
      </c>
      <c r="C187" s="51" t="s">
        <v>251</v>
      </c>
      <c r="D187" s="72" t="n">
        <v>2.25</v>
      </c>
      <c r="E187" s="51" t="s">
        <v>250</v>
      </c>
      <c r="F187" s="35" t="str">
        <f aca="false">IF(OR(B187="",E187&lt;&gt;"Yes"),"",IFERROR(INDEX(Clients!$F$6:$F$25,MATCH(B187,Clients!$B$6:$B$25,0)),""))</f>
        <v/>
      </c>
      <c r="G187" s="73" t="str">
        <f aca="false">IF(AND(ISNUMBER(D187),ISNUMBER(F187)),D187*F187,"")</f>
        <v/>
      </c>
      <c r="H187" s="51" t="s">
        <v>250</v>
      </c>
      <c r="I187" s="51"/>
    </row>
    <row r="188" customFormat="false" ht="15" hidden="false" customHeight="false" outlineLevel="0" collapsed="false">
      <c r="A188" s="65" t="n">
        <v>46192</v>
      </c>
      <c r="B188" s="51" t="s">
        <v>222</v>
      </c>
      <c r="C188" s="51" t="s">
        <v>267</v>
      </c>
      <c r="D188" s="72" t="n">
        <v>3.25</v>
      </c>
      <c r="E188" s="51" t="s">
        <v>247</v>
      </c>
      <c r="F188" s="35" t="n">
        <f aca="false">IF(OR(B188="",E188&lt;&gt;"Yes"),"",IFERROR(INDEX(Clients!$F$6:$F$25,MATCH(B188,Clients!$B$6:$B$25,0)),""))</f>
        <v>160</v>
      </c>
      <c r="G188" s="73" t="n">
        <f aca="false">IF(AND(ISNUMBER(D188),ISNUMBER(F188)),D188*F188,"")</f>
        <v>520</v>
      </c>
      <c r="H188" s="51" t="s">
        <v>247</v>
      </c>
      <c r="I188" s="51"/>
    </row>
    <row r="189" customFormat="false" ht="15" hidden="false" customHeight="false" outlineLevel="0" collapsed="false">
      <c r="A189" s="65" t="n">
        <v>46192</v>
      </c>
      <c r="B189" s="51" t="s">
        <v>210</v>
      </c>
      <c r="C189" s="51" t="s">
        <v>260</v>
      </c>
      <c r="D189" s="72" t="n">
        <v>6.75</v>
      </c>
      <c r="E189" s="51" t="s">
        <v>247</v>
      </c>
      <c r="F189" s="35" t="n">
        <f aca="false">IF(OR(B189="",E189&lt;&gt;"Yes"),"",IFERROR(INDEX(Clients!$F$6:$F$25,MATCH(B189,Clients!$B$6:$B$25,0)),""))</f>
        <v>135</v>
      </c>
      <c r="G189" s="73" t="n">
        <f aca="false">IF(AND(ISNUMBER(D189),ISNUMBER(F189)),D189*F189,"")</f>
        <v>911.25</v>
      </c>
      <c r="H189" s="51" t="s">
        <v>247</v>
      </c>
      <c r="I189" s="51"/>
    </row>
    <row r="190" customFormat="false" ht="15" hidden="false" customHeight="false" outlineLevel="0" collapsed="false">
      <c r="A190" s="65" t="n">
        <v>46192</v>
      </c>
      <c r="B190" s="51" t="s">
        <v>207</v>
      </c>
      <c r="C190" s="51" t="s">
        <v>255</v>
      </c>
      <c r="D190" s="72" t="n">
        <v>4.75</v>
      </c>
      <c r="E190" s="51" t="s">
        <v>247</v>
      </c>
      <c r="F190" s="35" t="n">
        <f aca="false">IF(OR(B190="",E190&lt;&gt;"Yes"),"",IFERROR(INDEX(Clients!$F$6:$F$25,MATCH(B190,Clients!$B$6:$B$25,0)),""))</f>
        <v>125</v>
      </c>
      <c r="G190" s="73" t="n">
        <f aca="false">IF(AND(ISNUMBER(D190),ISNUMBER(F190)),D190*F190,"")</f>
        <v>593.75</v>
      </c>
      <c r="H190" s="51" t="s">
        <v>247</v>
      </c>
      <c r="I190" s="51"/>
    </row>
    <row r="191" customFormat="false" ht="15" hidden="false" customHeight="false" outlineLevel="0" collapsed="false">
      <c r="A191" s="65" t="n">
        <v>46192</v>
      </c>
      <c r="B191" s="51" t="s">
        <v>216</v>
      </c>
      <c r="C191" s="51" t="s">
        <v>258</v>
      </c>
      <c r="D191" s="72" t="n">
        <v>2</v>
      </c>
      <c r="E191" s="51" t="s">
        <v>247</v>
      </c>
      <c r="F191" s="35" t="n">
        <f aca="false">IF(OR(B191="",E191&lt;&gt;"Yes"),"",IFERROR(INDEX(Clients!$F$6:$F$25,MATCH(B191,Clients!$B$6:$B$25,0)),""))</f>
        <v>100</v>
      </c>
      <c r="G191" s="73" t="n">
        <f aca="false">IF(AND(ISNUMBER(D191),ISNUMBER(F191)),D191*F191,"")</f>
        <v>200</v>
      </c>
      <c r="H191" s="51" t="s">
        <v>247</v>
      </c>
      <c r="I191" s="51"/>
    </row>
    <row r="192" customFormat="false" ht="15" hidden="false" customHeight="false" outlineLevel="0" collapsed="false">
      <c r="A192" s="65" t="n">
        <v>46199</v>
      </c>
      <c r="B192" s="51" t="s">
        <v>213</v>
      </c>
      <c r="C192" s="51" t="s">
        <v>256</v>
      </c>
      <c r="D192" s="72" t="n">
        <v>3.25</v>
      </c>
      <c r="E192" s="51" t="s">
        <v>247</v>
      </c>
      <c r="F192" s="35" t="n">
        <f aca="false">IF(OR(B192="",E192&lt;&gt;"Yes"),"",IFERROR(INDEX(Clients!$F$6:$F$25,MATCH(B192,Clients!$B$6:$B$25,0)),""))</f>
        <v>135</v>
      </c>
      <c r="G192" s="73" t="n">
        <f aca="false">IF(AND(ISNUMBER(D192),ISNUMBER(F192)),D192*F192,"")</f>
        <v>438.75</v>
      </c>
      <c r="H192" s="51" t="s">
        <v>247</v>
      </c>
      <c r="I192" s="51"/>
    </row>
    <row r="193" customFormat="false" ht="15" hidden="false" customHeight="false" outlineLevel="0" collapsed="false">
      <c r="A193" s="65" t="n">
        <v>46199</v>
      </c>
      <c r="B193" s="51" t="s">
        <v>204</v>
      </c>
      <c r="C193" s="51" t="s">
        <v>262</v>
      </c>
      <c r="D193" s="72" t="n">
        <v>6</v>
      </c>
      <c r="E193" s="51" t="s">
        <v>247</v>
      </c>
      <c r="F193" s="35" t="n">
        <f aca="false">IF(OR(B193="",E193&lt;&gt;"Yes"),"",IFERROR(INDEX(Clients!$F$6:$F$25,MATCH(B193,Clients!$B$6:$B$25,0)),""))</f>
        <v>135</v>
      </c>
      <c r="G193" s="73" t="n">
        <f aca="false">IF(AND(ISNUMBER(D193),ISNUMBER(F193)),D193*F193,"")</f>
        <v>810</v>
      </c>
      <c r="H193" s="51" t="s">
        <v>247</v>
      </c>
      <c r="I193" s="51"/>
    </row>
    <row r="194" customFormat="false" ht="15" hidden="false" customHeight="false" outlineLevel="0" collapsed="false">
      <c r="A194" s="65" t="n">
        <v>46199</v>
      </c>
      <c r="B194" s="51" t="s">
        <v>117</v>
      </c>
      <c r="C194" s="51" t="s">
        <v>249</v>
      </c>
      <c r="D194" s="72" t="n">
        <v>3.5</v>
      </c>
      <c r="E194" s="51" t="s">
        <v>250</v>
      </c>
      <c r="F194" s="35" t="str">
        <f aca="false">IF(OR(B194="",E194&lt;&gt;"Yes"),"",IFERROR(INDEX(Clients!$F$6:$F$25,MATCH(B194,Clients!$B$6:$B$25,0)),""))</f>
        <v/>
      </c>
      <c r="G194" s="73" t="str">
        <f aca="false">IF(AND(ISNUMBER(D194),ISNUMBER(F194)),D194*F194,"")</f>
        <v/>
      </c>
      <c r="H194" s="51" t="s">
        <v>250</v>
      </c>
      <c r="I194" s="51"/>
    </row>
    <row r="195" customFormat="false" ht="15" hidden="false" customHeight="false" outlineLevel="0" collapsed="false">
      <c r="A195" s="65" t="n">
        <v>46199</v>
      </c>
      <c r="B195" s="51" t="s">
        <v>117</v>
      </c>
      <c r="C195" s="51" t="s">
        <v>251</v>
      </c>
      <c r="D195" s="72" t="n">
        <v>2.25</v>
      </c>
      <c r="E195" s="51" t="s">
        <v>250</v>
      </c>
      <c r="F195" s="35" t="str">
        <f aca="false">IF(OR(B195="",E195&lt;&gt;"Yes"),"",IFERROR(INDEX(Clients!$F$6:$F$25,MATCH(B195,Clients!$B$6:$B$25,0)),""))</f>
        <v/>
      </c>
      <c r="G195" s="73" t="str">
        <f aca="false">IF(AND(ISNUMBER(D195),ISNUMBER(F195)),D195*F195,"")</f>
        <v/>
      </c>
      <c r="H195" s="51" t="s">
        <v>250</v>
      </c>
      <c r="I195" s="51"/>
    </row>
    <row r="196" customFormat="false" ht="15" hidden="false" customHeight="false" outlineLevel="0" collapsed="false">
      <c r="A196" s="65" t="n">
        <v>46199</v>
      </c>
      <c r="B196" s="51" t="s">
        <v>222</v>
      </c>
      <c r="C196" s="51" t="s">
        <v>267</v>
      </c>
      <c r="D196" s="72" t="n">
        <v>2.75</v>
      </c>
      <c r="E196" s="51" t="s">
        <v>247</v>
      </c>
      <c r="F196" s="35" t="n">
        <f aca="false">IF(OR(B196="",E196&lt;&gt;"Yes"),"",IFERROR(INDEX(Clients!$F$6:$F$25,MATCH(B196,Clients!$B$6:$B$25,0)),""))</f>
        <v>160</v>
      </c>
      <c r="G196" s="73" t="n">
        <f aca="false">IF(AND(ISNUMBER(D196),ISNUMBER(F196)),D196*F196,"")</f>
        <v>440</v>
      </c>
      <c r="H196" s="51" t="s">
        <v>247</v>
      </c>
      <c r="I196" s="51"/>
    </row>
    <row r="197" customFormat="false" ht="15" hidden="false" customHeight="false" outlineLevel="0" collapsed="false">
      <c r="A197" s="65" t="n">
        <v>46199</v>
      </c>
      <c r="B197" s="51" t="s">
        <v>210</v>
      </c>
      <c r="C197" s="51" t="s">
        <v>260</v>
      </c>
      <c r="D197" s="72" t="n">
        <v>5</v>
      </c>
      <c r="E197" s="51" t="s">
        <v>247</v>
      </c>
      <c r="F197" s="35" t="n">
        <f aca="false">IF(OR(B197="",E197&lt;&gt;"Yes"),"",IFERROR(INDEX(Clients!$F$6:$F$25,MATCH(B197,Clients!$B$6:$B$25,0)),""))</f>
        <v>135</v>
      </c>
      <c r="G197" s="73" t="n">
        <f aca="false">IF(AND(ISNUMBER(D197),ISNUMBER(F197)),D197*F197,"")</f>
        <v>675</v>
      </c>
      <c r="H197" s="51" t="s">
        <v>247</v>
      </c>
      <c r="I197" s="51"/>
    </row>
    <row r="198" customFormat="false" ht="15" hidden="false" customHeight="false" outlineLevel="0" collapsed="false">
      <c r="A198" s="65" t="n">
        <v>46199</v>
      </c>
      <c r="B198" s="51" t="s">
        <v>207</v>
      </c>
      <c r="C198" s="51" t="s">
        <v>255</v>
      </c>
      <c r="D198" s="72" t="n">
        <v>4.75</v>
      </c>
      <c r="E198" s="51" t="s">
        <v>247</v>
      </c>
      <c r="F198" s="35" t="n">
        <f aca="false">IF(OR(B198="",E198&lt;&gt;"Yes"),"",IFERROR(INDEX(Clients!$F$6:$F$25,MATCH(B198,Clients!$B$6:$B$25,0)),""))</f>
        <v>125</v>
      </c>
      <c r="G198" s="73" t="n">
        <f aca="false">IF(AND(ISNUMBER(D198),ISNUMBER(F198)),D198*F198,"")</f>
        <v>593.75</v>
      </c>
      <c r="H198" s="51" t="s">
        <v>247</v>
      </c>
      <c r="I198" s="51"/>
    </row>
    <row r="199" customFormat="false" ht="15" hidden="false" customHeight="false" outlineLevel="0" collapsed="false">
      <c r="A199" s="65" t="n">
        <v>46199</v>
      </c>
      <c r="B199" s="51" t="s">
        <v>216</v>
      </c>
      <c r="C199" s="51" t="s">
        <v>258</v>
      </c>
      <c r="D199" s="72" t="n">
        <v>1.75</v>
      </c>
      <c r="E199" s="51" t="s">
        <v>247</v>
      </c>
      <c r="F199" s="35" t="n">
        <f aca="false">IF(OR(B199="",E199&lt;&gt;"Yes"),"",IFERROR(INDEX(Clients!$F$6:$F$25,MATCH(B199,Clients!$B$6:$B$25,0)),""))</f>
        <v>100</v>
      </c>
      <c r="G199" s="73" t="n">
        <f aca="false">IF(AND(ISNUMBER(D199),ISNUMBER(F199)),D199*F199,"")</f>
        <v>175</v>
      </c>
      <c r="H199" s="51" t="s">
        <v>247</v>
      </c>
      <c r="I199" s="51"/>
    </row>
    <row r="200" customFormat="false" ht="15" hidden="false" customHeight="false" outlineLevel="0" collapsed="false">
      <c r="A200" s="65" t="n">
        <v>46206</v>
      </c>
      <c r="B200" s="51" t="s">
        <v>213</v>
      </c>
      <c r="C200" s="51" t="s">
        <v>256</v>
      </c>
      <c r="D200" s="72" t="n">
        <v>3.75</v>
      </c>
      <c r="E200" s="51" t="s">
        <v>247</v>
      </c>
      <c r="F200" s="35" t="n">
        <f aca="false">IF(OR(B200="",E200&lt;&gt;"Yes"),"",IFERROR(INDEX(Clients!$F$6:$F$25,MATCH(B200,Clients!$B$6:$B$25,0)),""))</f>
        <v>135</v>
      </c>
      <c r="G200" s="73" t="n">
        <f aca="false">IF(AND(ISNUMBER(D200),ISNUMBER(F200)),D200*F200,"")</f>
        <v>506.25</v>
      </c>
      <c r="H200" s="51" t="s">
        <v>247</v>
      </c>
      <c r="I200" s="51"/>
    </row>
    <row r="201" customFormat="false" ht="15" hidden="false" customHeight="false" outlineLevel="0" collapsed="false">
      <c r="A201" s="65" t="n">
        <v>46206</v>
      </c>
      <c r="B201" s="51" t="s">
        <v>204</v>
      </c>
      <c r="C201" s="51" t="s">
        <v>262</v>
      </c>
      <c r="D201" s="72" t="n">
        <v>5</v>
      </c>
      <c r="E201" s="51" t="s">
        <v>247</v>
      </c>
      <c r="F201" s="35" t="n">
        <f aca="false">IF(OR(B201="",E201&lt;&gt;"Yes"),"",IFERROR(INDEX(Clients!$F$6:$F$25,MATCH(B201,Clients!$B$6:$B$25,0)),""))</f>
        <v>135</v>
      </c>
      <c r="G201" s="73" t="n">
        <f aca="false">IF(AND(ISNUMBER(D201),ISNUMBER(F201)),D201*F201,"")</f>
        <v>675</v>
      </c>
      <c r="H201" s="51" t="s">
        <v>247</v>
      </c>
      <c r="I201" s="51"/>
    </row>
    <row r="202" customFormat="false" ht="15" hidden="false" customHeight="false" outlineLevel="0" collapsed="false">
      <c r="A202" s="65" t="n">
        <v>46206</v>
      </c>
      <c r="B202" s="51" t="s">
        <v>117</v>
      </c>
      <c r="C202" s="51" t="s">
        <v>249</v>
      </c>
      <c r="D202" s="72" t="n">
        <v>4.5</v>
      </c>
      <c r="E202" s="51" t="s">
        <v>250</v>
      </c>
      <c r="F202" s="35" t="str">
        <f aca="false">IF(OR(B202="",E202&lt;&gt;"Yes"),"",IFERROR(INDEX(Clients!$F$6:$F$25,MATCH(B202,Clients!$B$6:$B$25,0)),""))</f>
        <v/>
      </c>
      <c r="G202" s="73" t="str">
        <f aca="false">IF(AND(ISNUMBER(D202),ISNUMBER(F202)),D202*F202,"")</f>
        <v/>
      </c>
      <c r="H202" s="51" t="s">
        <v>250</v>
      </c>
      <c r="I202" s="51"/>
    </row>
    <row r="203" customFormat="false" ht="15" hidden="false" customHeight="false" outlineLevel="0" collapsed="false">
      <c r="A203" s="65" t="n">
        <v>46206</v>
      </c>
      <c r="B203" s="51" t="s">
        <v>117</v>
      </c>
      <c r="C203" s="51" t="s">
        <v>251</v>
      </c>
      <c r="D203" s="72" t="n">
        <v>1.5</v>
      </c>
      <c r="E203" s="51" t="s">
        <v>250</v>
      </c>
      <c r="F203" s="35" t="str">
        <f aca="false">IF(OR(B203="",E203&lt;&gt;"Yes"),"",IFERROR(INDEX(Clients!$F$6:$F$25,MATCH(B203,Clients!$B$6:$B$25,0)),""))</f>
        <v/>
      </c>
      <c r="G203" s="73" t="str">
        <f aca="false">IF(AND(ISNUMBER(D203),ISNUMBER(F203)),D203*F203,"")</f>
        <v/>
      </c>
      <c r="H203" s="51" t="s">
        <v>250</v>
      </c>
      <c r="I203" s="51"/>
    </row>
    <row r="204" customFormat="false" ht="15" hidden="false" customHeight="false" outlineLevel="0" collapsed="false">
      <c r="A204" s="65" t="n">
        <v>46206</v>
      </c>
      <c r="B204" s="51" t="s">
        <v>222</v>
      </c>
      <c r="C204" s="51" t="s">
        <v>267</v>
      </c>
      <c r="D204" s="72" t="n">
        <v>2.5</v>
      </c>
      <c r="E204" s="51" t="s">
        <v>247</v>
      </c>
      <c r="F204" s="35" t="n">
        <f aca="false">IF(OR(B204="",E204&lt;&gt;"Yes"),"",IFERROR(INDEX(Clients!$F$6:$F$25,MATCH(B204,Clients!$B$6:$B$25,0)),""))</f>
        <v>160</v>
      </c>
      <c r="G204" s="73" t="n">
        <f aca="false">IF(AND(ISNUMBER(D204),ISNUMBER(F204)),D204*F204,"")</f>
        <v>400</v>
      </c>
      <c r="H204" s="51" t="s">
        <v>247</v>
      </c>
      <c r="I204" s="51"/>
    </row>
    <row r="205" customFormat="false" ht="15" hidden="false" customHeight="false" outlineLevel="0" collapsed="false">
      <c r="A205" s="65" t="n">
        <v>46206</v>
      </c>
      <c r="B205" s="51" t="s">
        <v>210</v>
      </c>
      <c r="C205" s="51" t="s">
        <v>261</v>
      </c>
      <c r="D205" s="72" t="n">
        <v>3.75</v>
      </c>
      <c r="E205" s="51" t="s">
        <v>247</v>
      </c>
      <c r="F205" s="35" t="n">
        <f aca="false">IF(OR(B205="",E205&lt;&gt;"Yes"),"",IFERROR(INDEX(Clients!$F$6:$F$25,MATCH(B205,Clients!$B$6:$B$25,0)),""))</f>
        <v>135</v>
      </c>
      <c r="G205" s="73" t="n">
        <f aca="false">IF(AND(ISNUMBER(D205),ISNUMBER(F205)),D205*F205,"")</f>
        <v>506.25</v>
      </c>
      <c r="H205" s="51" t="s">
        <v>247</v>
      </c>
      <c r="I205" s="51"/>
    </row>
    <row r="206" customFormat="false" ht="15" hidden="false" customHeight="false" outlineLevel="0" collapsed="false">
      <c r="A206" s="65" t="n">
        <v>46206</v>
      </c>
      <c r="B206" s="51" t="s">
        <v>207</v>
      </c>
      <c r="C206" s="51" t="s">
        <v>252</v>
      </c>
      <c r="D206" s="72" t="n">
        <v>5.5</v>
      </c>
      <c r="E206" s="51" t="s">
        <v>247</v>
      </c>
      <c r="F206" s="35" t="n">
        <f aca="false">IF(OR(B206="",E206&lt;&gt;"Yes"),"",IFERROR(INDEX(Clients!$F$6:$F$25,MATCH(B206,Clients!$B$6:$B$25,0)),""))</f>
        <v>125</v>
      </c>
      <c r="G206" s="73" t="n">
        <f aca="false">IF(AND(ISNUMBER(D206),ISNUMBER(F206)),D206*F206,"")</f>
        <v>687.5</v>
      </c>
      <c r="H206" s="51" t="s">
        <v>247</v>
      </c>
      <c r="I206" s="51"/>
    </row>
    <row r="207" customFormat="false" ht="15" hidden="false" customHeight="false" outlineLevel="0" collapsed="false">
      <c r="A207" s="65" t="n">
        <v>46206</v>
      </c>
      <c r="B207" s="51" t="s">
        <v>216</v>
      </c>
      <c r="C207" s="51" t="s">
        <v>253</v>
      </c>
      <c r="D207" s="72" t="n">
        <v>2</v>
      </c>
      <c r="E207" s="51" t="s">
        <v>247</v>
      </c>
      <c r="F207" s="35" t="n">
        <f aca="false">IF(OR(B207="",E207&lt;&gt;"Yes"),"",IFERROR(INDEX(Clients!$F$6:$F$25,MATCH(B207,Clients!$B$6:$B$25,0)),""))</f>
        <v>100</v>
      </c>
      <c r="G207" s="73" t="n">
        <f aca="false">IF(AND(ISNUMBER(D207),ISNUMBER(F207)),D207*F207,"")</f>
        <v>200</v>
      </c>
      <c r="H207" s="51" t="s">
        <v>247</v>
      </c>
      <c r="I207" s="51"/>
    </row>
    <row r="208" customFormat="false" ht="15" hidden="false" customHeight="false" outlineLevel="0" collapsed="false">
      <c r="A208" s="65" t="n">
        <v>46213</v>
      </c>
      <c r="B208" s="51" t="s">
        <v>213</v>
      </c>
      <c r="C208" s="51" t="s">
        <v>254</v>
      </c>
      <c r="D208" s="72" t="n">
        <v>5.5</v>
      </c>
      <c r="E208" s="51" t="s">
        <v>247</v>
      </c>
      <c r="F208" s="35" t="n">
        <f aca="false">IF(OR(B208="",E208&lt;&gt;"Yes"),"",IFERROR(INDEX(Clients!$F$6:$F$25,MATCH(B208,Clients!$B$6:$B$25,0)),""))</f>
        <v>135</v>
      </c>
      <c r="G208" s="73" t="n">
        <f aca="false">IF(AND(ISNUMBER(D208),ISNUMBER(F208)),D208*F208,"")</f>
        <v>742.5</v>
      </c>
      <c r="H208" s="51" t="s">
        <v>247</v>
      </c>
      <c r="I208" s="51"/>
    </row>
    <row r="209" customFormat="false" ht="15" hidden="false" customHeight="false" outlineLevel="0" collapsed="false">
      <c r="A209" s="65" t="n">
        <v>46213</v>
      </c>
      <c r="B209" s="51" t="s">
        <v>204</v>
      </c>
      <c r="C209" s="51" t="s">
        <v>248</v>
      </c>
      <c r="D209" s="72" t="n">
        <v>5</v>
      </c>
      <c r="E209" s="51" t="s">
        <v>247</v>
      </c>
      <c r="F209" s="35" t="n">
        <f aca="false">IF(OR(B209="",E209&lt;&gt;"Yes"),"",IFERROR(INDEX(Clients!$F$6:$F$25,MATCH(B209,Clients!$B$6:$B$25,0)),""))</f>
        <v>135</v>
      </c>
      <c r="G209" s="73" t="n">
        <f aca="false">IF(AND(ISNUMBER(D209),ISNUMBER(F209)),D209*F209,"")</f>
        <v>675</v>
      </c>
      <c r="H209" s="51" t="s">
        <v>247</v>
      </c>
      <c r="I209" s="51"/>
    </row>
    <row r="210" customFormat="false" ht="15" hidden="false" customHeight="false" outlineLevel="0" collapsed="false">
      <c r="A210" s="65" t="n">
        <v>46213</v>
      </c>
      <c r="B210" s="51" t="s">
        <v>117</v>
      </c>
      <c r="C210" s="51" t="s">
        <v>249</v>
      </c>
      <c r="D210" s="72" t="n">
        <v>3.5</v>
      </c>
      <c r="E210" s="51" t="s">
        <v>250</v>
      </c>
      <c r="F210" s="35" t="str">
        <f aca="false">IF(OR(B210="",E210&lt;&gt;"Yes"),"",IFERROR(INDEX(Clients!$F$6:$F$25,MATCH(B210,Clients!$B$6:$B$25,0)),""))</f>
        <v/>
      </c>
      <c r="G210" s="73" t="str">
        <f aca="false">IF(AND(ISNUMBER(D210),ISNUMBER(F210)),D210*F210,"")</f>
        <v/>
      </c>
      <c r="H210" s="51" t="s">
        <v>250</v>
      </c>
      <c r="I210" s="51"/>
    </row>
    <row r="211" customFormat="false" ht="15" hidden="false" customHeight="false" outlineLevel="0" collapsed="false">
      <c r="A211" s="65" t="n">
        <v>46213</v>
      </c>
      <c r="B211" s="51" t="s">
        <v>117</v>
      </c>
      <c r="C211" s="51" t="s">
        <v>251</v>
      </c>
      <c r="D211" s="72" t="n">
        <v>2.5</v>
      </c>
      <c r="E211" s="51" t="s">
        <v>250</v>
      </c>
      <c r="F211" s="35" t="str">
        <f aca="false">IF(OR(B211="",E211&lt;&gt;"Yes"),"",IFERROR(INDEX(Clients!$F$6:$F$25,MATCH(B211,Clients!$B$6:$B$25,0)),""))</f>
        <v/>
      </c>
      <c r="G211" s="73" t="str">
        <f aca="false">IF(AND(ISNUMBER(D211),ISNUMBER(F211)),D211*F211,"")</f>
        <v/>
      </c>
      <c r="H211" s="51" t="s">
        <v>250</v>
      </c>
      <c r="I211" s="51"/>
    </row>
    <row r="212" customFormat="false" ht="15" hidden="false" customHeight="false" outlineLevel="0" collapsed="false">
      <c r="A212" s="65" t="n">
        <v>46213</v>
      </c>
      <c r="B212" s="51" t="s">
        <v>222</v>
      </c>
      <c r="C212" s="51" t="s">
        <v>267</v>
      </c>
      <c r="D212" s="72" t="n">
        <v>3.5</v>
      </c>
      <c r="E212" s="51" t="s">
        <v>247</v>
      </c>
      <c r="F212" s="35" t="n">
        <f aca="false">IF(OR(B212="",E212&lt;&gt;"Yes"),"",IFERROR(INDEX(Clients!$F$6:$F$25,MATCH(B212,Clients!$B$6:$B$25,0)),""))</f>
        <v>160</v>
      </c>
      <c r="G212" s="73" t="n">
        <f aca="false">IF(AND(ISNUMBER(D212),ISNUMBER(F212)),D212*F212,"")</f>
        <v>560</v>
      </c>
      <c r="H212" s="51" t="s">
        <v>247</v>
      </c>
      <c r="I212" s="51"/>
    </row>
    <row r="213" customFormat="false" ht="15" hidden="false" customHeight="false" outlineLevel="0" collapsed="false">
      <c r="A213" s="65" t="n">
        <v>46213</v>
      </c>
      <c r="B213" s="51" t="s">
        <v>210</v>
      </c>
      <c r="C213" s="51" t="s">
        <v>261</v>
      </c>
      <c r="D213" s="72" t="n">
        <v>2.75</v>
      </c>
      <c r="E213" s="51" t="s">
        <v>247</v>
      </c>
      <c r="F213" s="35" t="n">
        <f aca="false">IF(OR(B213="",E213&lt;&gt;"Yes"),"",IFERROR(INDEX(Clients!$F$6:$F$25,MATCH(B213,Clients!$B$6:$B$25,0)),""))</f>
        <v>135</v>
      </c>
      <c r="G213" s="73" t="n">
        <f aca="false">IF(AND(ISNUMBER(D213),ISNUMBER(F213)),D213*F213,"")</f>
        <v>371.25</v>
      </c>
      <c r="H213" s="51" t="s">
        <v>247</v>
      </c>
      <c r="I213" s="51"/>
    </row>
    <row r="214" customFormat="false" ht="15" hidden="false" customHeight="false" outlineLevel="0" collapsed="false">
      <c r="A214" s="65" t="n">
        <v>46213</v>
      </c>
      <c r="B214" s="51" t="s">
        <v>207</v>
      </c>
      <c r="C214" s="51" t="s">
        <v>259</v>
      </c>
      <c r="D214" s="72" t="n">
        <v>6.25</v>
      </c>
      <c r="E214" s="51" t="s">
        <v>247</v>
      </c>
      <c r="F214" s="35" t="n">
        <f aca="false">IF(OR(B214="",E214&lt;&gt;"Yes"),"",IFERROR(INDEX(Clients!$F$6:$F$25,MATCH(B214,Clients!$B$6:$B$25,0)),""))</f>
        <v>125</v>
      </c>
      <c r="G214" s="73" t="n">
        <f aca="false">IF(AND(ISNUMBER(D214),ISNUMBER(F214)),D214*F214,"")</f>
        <v>781.25</v>
      </c>
      <c r="H214" s="51" t="s">
        <v>247</v>
      </c>
      <c r="I214" s="51"/>
    </row>
    <row r="215" customFormat="false" ht="15" hidden="false" customHeight="false" outlineLevel="0" collapsed="false">
      <c r="A215" s="65" t="n">
        <v>46213</v>
      </c>
      <c r="B215" s="51" t="s">
        <v>216</v>
      </c>
      <c r="C215" s="51" t="s">
        <v>258</v>
      </c>
      <c r="D215" s="72" t="n">
        <v>1.75</v>
      </c>
      <c r="E215" s="51" t="s">
        <v>247</v>
      </c>
      <c r="F215" s="35" t="n">
        <f aca="false">IF(OR(B215="",E215&lt;&gt;"Yes"),"",IFERROR(INDEX(Clients!$F$6:$F$25,MATCH(B215,Clients!$B$6:$B$25,0)),""))</f>
        <v>100</v>
      </c>
      <c r="G215" s="73" t="n">
        <f aca="false">IF(AND(ISNUMBER(D215),ISNUMBER(F215)),D215*F215,"")</f>
        <v>175</v>
      </c>
      <c r="H215" s="51" t="s">
        <v>247</v>
      </c>
      <c r="I215" s="51"/>
    </row>
    <row r="216" customFormat="false" ht="15" hidden="false" customHeight="false" outlineLevel="0" collapsed="false">
      <c r="A216" s="65" t="n">
        <v>46220</v>
      </c>
      <c r="B216" s="51" t="s">
        <v>213</v>
      </c>
      <c r="C216" s="51" t="s">
        <v>246</v>
      </c>
      <c r="D216" s="72" t="n">
        <v>5</v>
      </c>
      <c r="E216" s="51" t="s">
        <v>247</v>
      </c>
      <c r="F216" s="35" t="n">
        <f aca="false">IF(OR(B216="",E216&lt;&gt;"Yes"),"",IFERROR(INDEX(Clients!$F$6:$F$25,MATCH(B216,Clients!$B$6:$B$25,0)),""))</f>
        <v>135</v>
      </c>
      <c r="G216" s="73" t="n">
        <f aca="false">IF(AND(ISNUMBER(D216),ISNUMBER(F216)),D216*F216,"")</f>
        <v>675</v>
      </c>
      <c r="H216" s="51" t="s">
        <v>247</v>
      </c>
      <c r="I216" s="51"/>
    </row>
    <row r="217" customFormat="false" ht="15" hidden="false" customHeight="false" outlineLevel="0" collapsed="false">
      <c r="A217" s="65" t="n">
        <v>46220</v>
      </c>
      <c r="B217" s="51" t="s">
        <v>204</v>
      </c>
      <c r="C217" s="51" t="s">
        <v>262</v>
      </c>
      <c r="D217" s="72" t="n">
        <v>4.75</v>
      </c>
      <c r="E217" s="51" t="s">
        <v>247</v>
      </c>
      <c r="F217" s="35" t="n">
        <f aca="false">IF(OR(B217="",E217&lt;&gt;"Yes"),"",IFERROR(INDEX(Clients!$F$6:$F$25,MATCH(B217,Clients!$B$6:$B$25,0)),""))</f>
        <v>135</v>
      </c>
      <c r="G217" s="73" t="n">
        <f aca="false">IF(AND(ISNUMBER(D217),ISNUMBER(F217)),D217*F217,"")</f>
        <v>641.25</v>
      </c>
      <c r="H217" s="51" t="s">
        <v>247</v>
      </c>
      <c r="I217" s="51"/>
    </row>
    <row r="218" customFormat="false" ht="15" hidden="false" customHeight="false" outlineLevel="0" collapsed="false">
      <c r="A218" s="65" t="n">
        <v>46220</v>
      </c>
      <c r="B218" s="51" t="s">
        <v>117</v>
      </c>
      <c r="C218" s="51" t="s">
        <v>249</v>
      </c>
      <c r="D218" s="72" t="n">
        <v>3.5</v>
      </c>
      <c r="E218" s="51" t="s">
        <v>250</v>
      </c>
      <c r="F218" s="35" t="str">
        <f aca="false">IF(OR(B218="",E218&lt;&gt;"Yes"),"",IFERROR(INDEX(Clients!$F$6:$F$25,MATCH(B218,Clients!$B$6:$B$25,0)),""))</f>
        <v/>
      </c>
      <c r="G218" s="73" t="str">
        <f aca="false">IF(AND(ISNUMBER(D218),ISNUMBER(F218)),D218*F218,"")</f>
        <v/>
      </c>
      <c r="H218" s="51" t="s">
        <v>250</v>
      </c>
      <c r="I218" s="51"/>
    </row>
    <row r="219" customFormat="false" ht="15" hidden="false" customHeight="false" outlineLevel="0" collapsed="false">
      <c r="A219" s="65" t="n">
        <v>46220</v>
      </c>
      <c r="B219" s="51" t="s">
        <v>117</v>
      </c>
      <c r="C219" s="51" t="s">
        <v>251</v>
      </c>
      <c r="D219" s="72" t="n">
        <v>2</v>
      </c>
      <c r="E219" s="51" t="s">
        <v>250</v>
      </c>
      <c r="F219" s="35" t="str">
        <f aca="false">IF(OR(B219="",E219&lt;&gt;"Yes"),"",IFERROR(INDEX(Clients!$F$6:$F$25,MATCH(B219,Clients!$B$6:$B$25,0)),""))</f>
        <v/>
      </c>
      <c r="G219" s="73" t="str">
        <f aca="false">IF(AND(ISNUMBER(D219),ISNUMBER(F219)),D219*F219,"")</f>
        <v/>
      </c>
      <c r="H219" s="51" t="s">
        <v>250</v>
      </c>
      <c r="I219" s="51"/>
    </row>
    <row r="220" customFormat="false" ht="15" hidden="false" customHeight="false" outlineLevel="0" collapsed="false">
      <c r="A220" s="65" t="n">
        <v>46220</v>
      </c>
      <c r="B220" s="51" t="s">
        <v>222</v>
      </c>
      <c r="C220" s="51" t="s">
        <v>267</v>
      </c>
      <c r="D220" s="72" t="n">
        <v>3.5</v>
      </c>
      <c r="E220" s="51" t="s">
        <v>247</v>
      </c>
      <c r="F220" s="35" t="n">
        <f aca="false">IF(OR(B220="",E220&lt;&gt;"Yes"),"",IFERROR(INDEX(Clients!$F$6:$F$25,MATCH(B220,Clients!$B$6:$B$25,0)),""))</f>
        <v>160</v>
      </c>
      <c r="G220" s="73" t="n">
        <f aca="false">IF(AND(ISNUMBER(D220),ISNUMBER(F220)),D220*F220,"")</f>
        <v>560</v>
      </c>
      <c r="H220" s="51" t="s">
        <v>247</v>
      </c>
      <c r="I220" s="51"/>
    </row>
    <row r="221" customFormat="false" ht="15" hidden="false" customHeight="false" outlineLevel="0" collapsed="false">
      <c r="A221" s="65" t="n">
        <v>46220</v>
      </c>
      <c r="B221" s="51" t="s">
        <v>210</v>
      </c>
      <c r="C221" s="51" t="s">
        <v>261</v>
      </c>
      <c r="D221" s="72" t="n">
        <v>3.75</v>
      </c>
      <c r="E221" s="51" t="s">
        <v>247</v>
      </c>
      <c r="F221" s="35" t="n">
        <f aca="false">IF(OR(B221="",E221&lt;&gt;"Yes"),"",IFERROR(INDEX(Clients!$F$6:$F$25,MATCH(B221,Clients!$B$6:$B$25,0)),""))</f>
        <v>135</v>
      </c>
      <c r="G221" s="73" t="n">
        <f aca="false">IF(AND(ISNUMBER(D221),ISNUMBER(F221)),D221*F221,"")</f>
        <v>506.25</v>
      </c>
      <c r="H221" s="51" t="s">
        <v>247</v>
      </c>
      <c r="I221" s="51"/>
    </row>
    <row r="222" customFormat="false" ht="15" hidden="false" customHeight="false" outlineLevel="0" collapsed="false">
      <c r="A222" s="65" t="n">
        <v>46220</v>
      </c>
      <c r="B222" s="51" t="s">
        <v>207</v>
      </c>
      <c r="C222" s="51" t="s">
        <v>255</v>
      </c>
      <c r="D222" s="72" t="n">
        <v>5</v>
      </c>
      <c r="E222" s="51" t="s">
        <v>247</v>
      </c>
      <c r="F222" s="35" t="n">
        <f aca="false">IF(OR(B222="",E222&lt;&gt;"Yes"),"",IFERROR(INDEX(Clients!$F$6:$F$25,MATCH(B222,Clients!$B$6:$B$25,0)),""))</f>
        <v>125</v>
      </c>
      <c r="G222" s="73" t="n">
        <f aca="false">IF(AND(ISNUMBER(D222),ISNUMBER(F222)),D222*F222,"")</f>
        <v>625</v>
      </c>
      <c r="H222" s="51" t="s">
        <v>247</v>
      </c>
      <c r="I222" s="51"/>
    </row>
    <row r="223" customFormat="false" ht="15" hidden="false" customHeight="false" outlineLevel="0" collapsed="false">
      <c r="A223" s="65" t="n">
        <v>46220</v>
      </c>
      <c r="B223" s="51" t="s">
        <v>216</v>
      </c>
      <c r="C223" s="51" t="s">
        <v>253</v>
      </c>
      <c r="D223" s="72" t="n">
        <v>1.75</v>
      </c>
      <c r="E223" s="51" t="s">
        <v>247</v>
      </c>
      <c r="F223" s="35" t="n">
        <f aca="false">IF(OR(B223="",E223&lt;&gt;"Yes"),"",IFERROR(INDEX(Clients!$F$6:$F$25,MATCH(B223,Clients!$B$6:$B$25,0)),""))</f>
        <v>100</v>
      </c>
      <c r="G223" s="73" t="n">
        <f aca="false">IF(AND(ISNUMBER(D223),ISNUMBER(F223)),D223*F223,"")</f>
        <v>175</v>
      </c>
      <c r="H223" s="51" t="s">
        <v>247</v>
      </c>
      <c r="I223" s="51"/>
    </row>
    <row r="224" customFormat="false" ht="15" hidden="false" customHeight="false" outlineLevel="0" collapsed="false">
      <c r="A224" s="65" t="n">
        <v>46227</v>
      </c>
      <c r="B224" s="51" t="s">
        <v>213</v>
      </c>
      <c r="C224" s="51" t="s">
        <v>256</v>
      </c>
      <c r="D224" s="72" t="n">
        <v>3.25</v>
      </c>
      <c r="E224" s="51" t="s">
        <v>247</v>
      </c>
      <c r="F224" s="35" t="n">
        <f aca="false">IF(OR(B224="",E224&lt;&gt;"Yes"),"",IFERROR(INDEX(Clients!$F$6:$F$25,MATCH(B224,Clients!$B$6:$B$25,0)),""))</f>
        <v>135</v>
      </c>
      <c r="G224" s="73" t="n">
        <f aca="false">IF(AND(ISNUMBER(D224),ISNUMBER(F224)),D224*F224,"")</f>
        <v>438.75</v>
      </c>
      <c r="H224" s="51" t="s">
        <v>247</v>
      </c>
      <c r="I224" s="51"/>
    </row>
    <row r="225" customFormat="false" ht="15" hidden="false" customHeight="false" outlineLevel="0" collapsed="false">
      <c r="A225" s="65" t="n">
        <v>46227</v>
      </c>
      <c r="B225" s="51" t="s">
        <v>204</v>
      </c>
      <c r="C225" s="51" t="s">
        <v>262</v>
      </c>
      <c r="D225" s="72" t="n">
        <v>6.25</v>
      </c>
      <c r="E225" s="51" t="s">
        <v>247</v>
      </c>
      <c r="F225" s="35" t="n">
        <f aca="false">IF(OR(B225="",E225&lt;&gt;"Yes"),"",IFERROR(INDEX(Clients!$F$6:$F$25,MATCH(B225,Clients!$B$6:$B$25,0)),""))</f>
        <v>135</v>
      </c>
      <c r="G225" s="73" t="n">
        <f aca="false">IF(AND(ISNUMBER(D225),ISNUMBER(F225)),D225*F225,"")</f>
        <v>843.75</v>
      </c>
      <c r="H225" s="51" t="s">
        <v>247</v>
      </c>
      <c r="I225" s="51"/>
    </row>
    <row r="226" customFormat="false" ht="15" hidden="false" customHeight="false" outlineLevel="0" collapsed="false">
      <c r="A226" s="65" t="n">
        <v>46227</v>
      </c>
      <c r="B226" s="51" t="s">
        <v>117</v>
      </c>
      <c r="C226" s="51" t="s">
        <v>249</v>
      </c>
      <c r="D226" s="72" t="n">
        <v>3.75</v>
      </c>
      <c r="E226" s="51" t="s">
        <v>250</v>
      </c>
      <c r="F226" s="35" t="str">
        <f aca="false">IF(OR(B226="",E226&lt;&gt;"Yes"),"",IFERROR(INDEX(Clients!$F$6:$F$25,MATCH(B226,Clients!$B$6:$B$25,0)),""))</f>
        <v/>
      </c>
      <c r="G226" s="73" t="str">
        <f aca="false">IF(AND(ISNUMBER(D226),ISNUMBER(F226)),D226*F226,"")</f>
        <v/>
      </c>
      <c r="H226" s="51" t="s">
        <v>250</v>
      </c>
      <c r="I226" s="51"/>
    </row>
    <row r="227" customFormat="false" ht="15" hidden="false" customHeight="false" outlineLevel="0" collapsed="false">
      <c r="A227" s="65" t="n">
        <v>46227</v>
      </c>
      <c r="B227" s="51" t="s">
        <v>117</v>
      </c>
      <c r="C227" s="51" t="s">
        <v>251</v>
      </c>
      <c r="D227" s="72" t="n">
        <v>2.25</v>
      </c>
      <c r="E227" s="51" t="s">
        <v>250</v>
      </c>
      <c r="F227" s="35" t="str">
        <f aca="false">IF(OR(B227="",E227&lt;&gt;"Yes"),"",IFERROR(INDEX(Clients!$F$6:$F$25,MATCH(B227,Clients!$B$6:$B$25,0)),""))</f>
        <v/>
      </c>
      <c r="G227" s="73" t="str">
        <f aca="false">IF(AND(ISNUMBER(D227),ISNUMBER(F227)),D227*F227,"")</f>
        <v/>
      </c>
      <c r="H227" s="51" t="s">
        <v>250</v>
      </c>
      <c r="I227" s="51"/>
    </row>
    <row r="228" customFormat="false" ht="15" hidden="false" customHeight="false" outlineLevel="0" collapsed="false">
      <c r="A228" s="65" t="n">
        <v>46227</v>
      </c>
      <c r="B228" s="51" t="s">
        <v>222</v>
      </c>
      <c r="C228" s="51" t="s">
        <v>269</v>
      </c>
      <c r="D228" s="72" t="n">
        <v>3.25</v>
      </c>
      <c r="E228" s="51" t="s">
        <v>247</v>
      </c>
      <c r="F228" s="35" t="n">
        <f aca="false">IF(OR(B228="",E228&lt;&gt;"Yes"),"",IFERROR(INDEX(Clients!$F$6:$F$25,MATCH(B228,Clients!$B$6:$B$25,0)),""))</f>
        <v>160</v>
      </c>
      <c r="G228" s="73" t="n">
        <f aca="false">IF(AND(ISNUMBER(D228),ISNUMBER(F228)),D228*F228,"")</f>
        <v>520</v>
      </c>
      <c r="H228" s="51" t="s">
        <v>247</v>
      </c>
      <c r="I228" s="51"/>
    </row>
    <row r="229" customFormat="false" ht="15" hidden="false" customHeight="false" outlineLevel="0" collapsed="false">
      <c r="A229" s="65" t="n">
        <v>46227</v>
      </c>
      <c r="B229" s="51" t="s">
        <v>210</v>
      </c>
      <c r="C229" s="51" t="s">
        <v>260</v>
      </c>
      <c r="D229" s="72" t="n">
        <v>3</v>
      </c>
      <c r="E229" s="51" t="s">
        <v>247</v>
      </c>
      <c r="F229" s="35" t="n">
        <f aca="false">IF(OR(B229="",E229&lt;&gt;"Yes"),"",IFERROR(INDEX(Clients!$F$6:$F$25,MATCH(B229,Clients!$B$6:$B$25,0)),""))</f>
        <v>135</v>
      </c>
      <c r="G229" s="73" t="n">
        <f aca="false">IF(AND(ISNUMBER(D229),ISNUMBER(F229)),D229*F229,"")</f>
        <v>405</v>
      </c>
      <c r="H229" s="51" t="s">
        <v>247</v>
      </c>
      <c r="I229" s="51"/>
    </row>
    <row r="230" customFormat="false" ht="15" hidden="false" customHeight="false" outlineLevel="0" collapsed="false">
      <c r="A230" s="65" t="n">
        <v>46227</v>
      </c>
      <c r="B230" s="51" t="s">
        <v>207</v>
      </c>
      <c r="C230" s="51" t="s">
        <v>259</v>
      </c>
      <c r="D230" s="72" t="n">
        <v>4.25</v>
      </c>
      <c r="E230" s="51" t="s">
        <v>247</v>
      </c>
      <c r="F230" s="35" t="n">
        <f aca="false">IF(OR(B230="",E230&lt;&gt;"Yes"),"",IFERROR(INDEX(Clients!$F$6:$F$25,MATCH(B230,Clients!$B$6:$B$25,0)),""))</f>
        <v>125</v>
      </c>
      <c r="G230" s="73" t="n">
        <f aca="false">IF(AND(ISNUMBER(D230),ISNUMBER(F230)),D230*F230,"")</f>
        <v>531.25</v>
      </c>
      <c r="H230" s="51" t="s">
        <v>247</v>
      </c>
      <c r="I230" s="51"/>
    </row>
    <row r="231" customFormat="false" ht="15" hidden="false" customHeight="false" outlineLevel="0" collapsed="false">
      <c r="A231" s="65" t="n">
        <v>46227</v>
      </c>
      <c r="B231" s="51" t="s">
        <v>216</v>
      </c>
      <c r="C231" s="51" t="s">
        <v>253</v>
      </c>
      <c r="D231" s="72" t="n">
        <v>2.5</v>
      </c>
      <c r="E231" s="51" t="s">
        <v>247</v>
      </c>
      <c r="F231" s="35" t="n">
        <f aca="false">IF(OR(B231="",E231&lt;&gt;"Yes"),"",IFERROR(INDEX(Clients!$F$6:$F$25,MATCH(B231,Clients!$B$6:$B$25,0)),""))</f>
        <v>100</v>
      </c>
      <c r="G231" s="73" t="n">
        <f aca="false">IF(AND(ISNUMBER(D231),ISNUMBER(F231)),D231*F231,"")</f>
        <v>250</v>
      </c>
      <c r="H231" s="51" t="s">
        <v>247</v>
      </c>
      <c r="I231" s="51"/>
    </row>
    <row r="232" customFormat="false" ht="15" hidden="false" customHeight="false" outlineLevel="0" collapsed="false">
      <c r="A232" s="65" t="n">
        <v>46234</v>
      </c>
      <c r="B232" s="51" t="s">
        <v>213</v>
      </c>
      <c r="C232" s="51" t="s">
        <v>254</v>
      </c>
      <c r="D232" s="72" t="n">
        <v>4</v>
      </c>
      <c r="E232" s="51" t="s">
        <v>247</v>
      </c>
      <c r="F232" s="35" t="n">
        <f aca="false">IF(OR(B232="",E232&lt;&gt;"Yes"),"",IFERROR(INDEX(Clients!$F$6:$F$25,MATCH(B232,Clients!$B$6:$B$25,0)),""))</f>
        <v>135</v>
      </c>
      <c r="G232" s="73" t="n">
        <f aca="false">IF(AND(ISNUMBER(D232),ISNUMBER(F232)),D232*F232,"")</f>
        <v>540</v>
      </c>
      <c r="H232" s="51" t="s">
        <v>247</v>
      </c>
      <c r="I232" s="51"/>
    </row>
    <row r="233" customFormat="false" ht="15" hidden="false" customHeight="false" outlineLevel="0" collapsed="false">
      <c r="A233" s="65" t="n">
        <v>46234</v>
      </c>
      <c r="B233" s="51" t="s">
        <v>204</v>
      </c>
      <c r="C233" s="51" t="s">
        <v>257</v>
      </c>
      <c r="D233" s="72" t="n">
        <v>8.25</v>
      </c>
      <c r="E233" s="51" t="s">
        <v>247</v>
      </c>
      <c r="F233" s="35" t="n">
        <f aca="false">IF(OR(B233="",E233&lt;&gt;"Yes"),"",IFERROR(INDEX(Clients!$F$6:$F$25,MATCH(B233,Clients!$B$6:$B$25,0)),""))</f>
        <v>135</v>
      </c>
      <c r="G233" s="73" t="n">
        <f aca="false">IF(AND(ISNUMBER(D233),ISNUMBER(F233)),D233*F233,"")</f>
        <v>1113.75</v>
      </c>
      <c r="H233" s="51" t="s">
        <v>247</v>
      </c>
      <c r="I233" s="51"/>
    </row>
    <row r="234" customFormat="false" ht="15" hidden="false" customHeight="false" outlineLevel="0" collapsed="false">
      <c r="A234" s="65" t="n">
        <v>46234</v>
      </c>
      <c r="B234" s="51" t="s">
        <v>117</v>
      </c>
      <c r="C234" s="51" t="s">
        <v>249</v>
      </c>
      <c r="D234" s="72" t="n">
        <v>4.25</v>
      </c>
      <c r="E234" s="51" t="s">
        <v>250</v>
      </c>
      <c r="F234" s="35" t="str">
        <f aca="false">IF(OR(B234="",E234&lt;&gt;"Yes"),"",IFERROR(INDEX(Clients!$F$6:$F$25,MATCH(B234,Clients!$B$6:$B$25,0)),""))</f>
        <v/>
      </c>
      <c r="G234" s="73" t="str">
        <f aca="false">IF(AND(ISNUMBER(D234),ISNUMBER(F234)),D234*F234,"")</f>
        <v/>
      </c>
      <c r="H234" s="51" t="s">
        <v>250</v>
      </c>
      <c r="I234" s="51"/>
    </row>
    <row r="235" customFormat="false" ht="15" hidden="false" customHeight="false" outlineLevel="0" collapsed="false">
      <c r="A235" s="65" t="n">
        <v>46234</v>
      </c>
      <c r="B235" s="51" t="s">
        <v>117</v>
      </c>
      <c r="C235" s="51" t="s">
        <v>251</v>
      </c>
      <c r="D235" s="72" t="n">
        <v>1.5</v>
      </c>
      <c r="E235" s="51" t="s">
        <v>250</v>
      </c>
      <c r="F235" s="35" t="str">
        <f aca="false">IF(OR(B235="",E235&lt;&gt;"Yes"),"",IFERROR(INDEX(Clients!$F$6:$F$25,MATCH(B235,Clients!$B$6:$B$25,0)),""))</f>
        <v/>
      </c>
      <c r="G235" s="73" t="str">
        <f aca="false">IF(AND(ISNUMBER(D235),ISNUMBER(F235)),D235*F235,"")</f>
        <v/>
      </c>
      <c r="H235" s="51" t="s">
        <v>250</v>
      </c>
      <c r="I235" s="51"/>
    </row>
    <row r="236" customFormat="false" ht="15" hidden="false" customHeight="false" outlineLevel="0" collapsed="false">
      <c r="A236" s="65" t="n">
        <v>46234</v>
      </c>
      <c r="B236" s="51" t="s">
        <v>222</v>
      </c>
      <c r="C236" s="51" t="s">
        <v>269</v>
      </c>
      <c r="D236" s="72" t="n">
        <v>2.75</v>
      </c>
      <c r="E236" s="51" t="s">
        <v>247</v>
      </c>
      <c r="F236" s="35" t="n">
        <f aca="false">IF(OR(B236="",E236&lt;&gt;"Yes"),"",IFERROR(INDEX(Clients!$F$6:$F$25,MATCH(B236,Clients!$B$6:$B$25,0)),""))</f>
        <v>160</v>
      </c>
      <c r="G236" s="73" t="n">
        <f aca="false">IF(AND(ISNUMBER(D236),ISNUMBER(F236)),D236*F236,"")</f>
        <v>440</v>
      </c>
      <c r="H236" s="51" t="s">
        <v>247</v>
      </c>
      <c r="I236" s="51"/>
    </row>
    <row r="237" customFormat="false" ht="15" hidden="false" customHeight="false" outlineLevel="0" collapsed="false">
      <c r="A237" s="65" t="n">
        <v>46234</v>
      </c>
      <c r="B237" s="51" t="s">
        <v>210</v>
      </c>
      <c r="C237" s="51" t="s">
        <v>260</v>
      </c>
      <c r="D237" s="72" t="n">
        <v>3</v>
      </c>
      <c r="E237" s="51" t="s">
        <v>247</v>
      </c>
      <c r="F237" s="35" t="n">
        <f aca="false">IF(OR(B237="",E237&lt;&gt;"Yes"),"",IFERROR(INDEX(Clients!$F$6:$F$25,MATCH(B237,Clients!$B$6:$B$25,0)),""))</f>
        <v>135</v>
      </c>
      <c r="G237" s="73" t="n">
        <f aca="false">IF(AND(ISNUMBER(D237),ISNUMBER(F237)),D237*F237,"")</f>
        <v>405</v>
      </c>
      <c r="H237" s="51" t="s">
        <v>247</v>
      </c>
      <c r="I237" s="51"/>
    </row>
    <row r="238" customFormat="false" ht="15" hidden="false" customHeight="false" outlineLevel="0" collapsed="false">
      <c r="A238" s="65" t="n">
        <v>46234</v>
      </c>
      <c r="B238" s="51" t="s">
        <v>207</v>
      </c>
      <c r="C238" s="51" t="s">
        <v>259</v>
      </c>
      <c r="D238" s="72" t="n">
        <v>4.5</v>
      </c>
      <c r="E238" s="51" t="s">
        <v>247</v>
      </c>
      <c r="F238" s="35" t="n">
        <f aca="false">IF(OR(B238="",E238&lt;&gt;"Yes"),"",IFERROR(INDEX(Clients!$F$6:$F$25,MATCH(B238,Clients!$B$6:$B$25,0)),""))</f>
        <v>125</v>
      </c>
      <c r="G238" s="73" t="n">
        <f aca="false">IF(AND(ISNUMBER(D238),ISNUMBER(F238)),D238*F238,"")</f>
        <v>562.5</v>
      </c>
      <c r="H238" s="51" t="s">
        <v>247</v>
      </c>
      <c r="I238" s="51"/>
    </row>
    <row r="239" customFormat="false" ht="15" hidden="false" customHeight="false" outlineLevel="0" collapsed="false">
      <c r="A239" s="65" t="n">
        <v>46234</v>
      </c>
      <c r="B239" s="51" t="s">
        <v>216</v>
      </c>
      <c r="C239" s="51" t="s">
        <v>253</v>
      </c>
      <c r="D239" s="72" t="n">
        <v>2</v>
      </c>
      <c r="E239" s="51" t="s">
        <v>247</v>
      </c>
      <c r="F239" s="35" t="n">
        <f aca="false">IF(OR(B239="",E239&lt;&gt;"Yes"),"",IFERROR(INDEX(Clients!$F$6:$F$25,MATCH(B239,Clients!$B$6:$B$25,0)),""))</f>
        <v>100</v>
      </c>
      <c r="G239" s="73" t="n">
        <f aca="false">IF(AND(ISNUMBER(D239),ISNUMBER(F239)),D239*F239,"")</f>
        <v>200</v>
      </c>
      <c r="H239" s="51" t="s">
        <v>247</v>
      </c>
      <c r="I239" s="51"/>
    </row>
    <row r="240" customFormat="false" ht="15" hidden="false" customHeight="false" outlineLevel="0" collapsed="false">
      <c r="A240" s="65" t="n">
        <v>46241</v>
      </c>
      <c r="B240" s="51" t="s">
        <v>213</v>
      </c>
      <c r="C240" s="51" t="s">
        <v>256</v>
      </c>
      <c r="D240" s="72" t="n">
        <v>4.5</v>
      </c>
      <c r="E240" s="51" t="s">
        <v>247</v>
      </c>
      <c r="F240" s="35" t="n">
        <f aca="false">IF(OR(B240="",E240&lt;&gt;"Yes"),"",IFERROR(INDEX(Clients!$F$6:$F$25,MATCH(B240,Clients!$B$6:$B$25,0)),""))</f>
        <v>135</v>
      </c>
      <c r="G240" s="73" t="n">
        <f aca="false">IF(AND(ISNUMBER(D240),ISNUMBER(F240)),D240*F240,"")</f>
        <v>607.5</v>
      </c>
      <c r="H240" s="51" t="s">
        <v>247</v>
      </c>
      <c r="I240" s="51"/>
    </row>
    <row r="241" customFormat="false" ht="15" hidden="false" customHeight="false" outlineLevel="0" collapsed="false">
      <c r="A241" s="65" t="n">
        <v>46241</v>
      </c>
      <c r="B241" s="51" t="s">
        <v>204</v>
      </c>
      <c r="C241" s="51" t="s">
        <v>257</v>
      </c>
      <c r="D241" s="72" t="n">
        <v>5.75</v>
      </c>
      <c r="E241" s="51" t="s">
        <v>247</v>
      </c>
      <c r="F241" s="35" t="n">
        <f aca="false">IF(OR(B241="",E241&lt;&gt;"Yes"),"",IFERROR(INDEX(Clients!$F$6:$F$25,MATCH(B241,Clients!$B$6:$B$25,0)),""))</f>
        <v>135</v>
      </c>
      <c r="G241" s="73" t="n">
        <f aca="false">IF(AND(ISNUMBER(D241),ISNUMBER(F241)),D241*F241,"")</f>
        <v>776.25</v>
      </c>
      <c r="H241" s="51" t="s">
        <v>247</v>
      </c>
      <c r="I241" s="51"/>
    </row>
    <row r="242" customFormat="false" ht="15" hidden="false" customHeight="false" outlineLevel="0" collapsed="false">
      <c r="A242" s="65" t="n">
        <v>46241</v>
      </c>
      <c r="B242" s="51" t="s">
        <v>117</v>
      </c>
      <c r="C242" s="51" t="s">
        <v>249</v>
      </c>
      <c r="D242" s="72" t="n">
        <v>3.25</v>
      </c>
      <c r="E242" s="51" t="s">
        <v>250</v>
      </c>
      <c r="F242" s="35" t="str">
        <f aca="false">IF(OR(B242="",E242&lt;&gt;"Yes"),"",IFERROR(INDEX(Clients!$F$6:$F$25,MATCH(B242,Clients!$B$6:$B$25,0)),""))</f>
        <v/>
      </c>
      <c r="G242" s="73" t="str">
        <f aca="false">IF(AND(ISNUMBER(D242),ISNUMBER(F242)),D242*F242,"")</f>
        <v/>
      </c>
      <c r="H242" s="51" t="s">
        <v>250</v>
      </c>
      <c r="I242" s="51"/>
    </row>
    <row r="243" customFormat="false" ht="15" hidden="false" customHeight="false" outlineLevel="0" collapsed="false">
      <c r="A243" s="65" t="n">
        <v>46241</v>
      </c>
      <c r="B243" s="51" t="s">
        <v>117</v>
      </c>
      <c r="C243" s="51" t="s">
        <v>251</v>
      </c>
      <c r="D243" s="72" t="n">
        <v>2.25</v>
      </c>
      <c r="E243" s="51" t="s">
        <v>250</v>
      </c>
      <c r="F243" s="35" t="str">
        <f aca="false">IF(OR(B243="",E243&lt;&gt;"Yes"),"",IFERROR(INDEX(Clients!$F$6:$F$25,MATCH(B243,Clients!$B$6:$B$25,0)),""))</f>
        <v/>
      </c>
      <c r="G243" s="73" t="str">
        <f aca="false">IF(AND(ISNUMBER(D243),ISNUMBER(F243)),D243*F243,"")</f>
        <v/>
      </c>
      <c r="H243" s="51" t="s">
        <v>250</v>
      </c>
      <c r="I243" s="51"/>
    </row>
    <row r="244" customFormat="false" ht="15" hidden="false" customHeight="false" outlineLevel="0" collapsed="false">
      <c r="A244" s="65" t="n">
        <v>46241</v>
      </c>
      <c r="B244" s="51" t="s">
        <v>222</v>
      </c>
      <c r="C244" s="51" t="s">
        <v>267</v>
      </c>
      <c r="D244" s="72" t="n">
        <v>1.5</v>
      </c>
      <c r="E244" s="51" t="s">
        <v>247</v>
      </c>
      <c r="F244" s="35" t="n">
        <f aca="false">IF(OR(B244="",E244&lt;&gt;"Yes"),"",IFERROR(INDEX(Clients!$F$6:$F$25,MATCH(B244,Clients!$B$6:$B$25,0)),""))</f>
        <v>160</v>
      </c>
      <c r="G244" s="73" t="n">
        <f aca="false">IF(AND(ISNUMBER(D244),ISNUMBER(F244)),D244*F244,"")</f>
        <v>240</v>
      </c>
      <c r="H244" s="51" t="s">
        <v>247</v>
      </c>
      <c r="I244" s="51"/>
    </row>
    <row r="245" customFormat="false" ht="15" hidden="false" customHeight="false" outlineLevel="0" collapsed="false">
      <c r="A245" s="65" t="n">
        <v>46241</v>
      </c>
      <c r="B245" s="51" t="s">
        <v>210</v>
      </c>
      <c r="C245" s="51" t="s">
        <v>260</v>
      </c>
      <c r="D245" s="72" t="n">
        <v>3.25</v>
      </c>
      <c r="E245" s="51" t="s">
        <v>247</v>
      </c>
      <c r="F245" s="35" t="n">
        <f aca="false">IF(OR(B245="",E245&lt;&gt;"Yes"),"",IFERROR(INDEX(Clients!$F$6:$F$25,MATCH(B245,Clients!$B$6:$B$25,0)),""))</f>
        <v>135</v>
      </c>
      <c r="G245" s="73" t="n">
        <f aca="false">IF(AND(ISNUMBER(D245),ISNUMBER(F245)),D245*F245,"")</f>
        <v>438.75</v>
      </c>
      <c r="H245" s="51" t="s">
        <v>247</v>
      </c>
      <c r="I245" s="51"/>
    </row>
    <row r="246" customFormat="false" ht="15" hidden="false" customHeight="false" outlineLevel="0" collapsed="false">
      <c r="A246" s="65" t="n">
        <v>46241</v>
      </c>
      <c r="B246" s="51" t="s">
        <v>207</v>
      </c>
      <c r="C246" s="51" t="s">
        <v>252</v>
      </c>
      <c r="D246" s="72" t="n">
        <v>4</v>
      </c>
      <c r="E246" s="51" t="s">
        <v>247</v>
      </c>
      <c r="F246" s="35" t="n">
        <f aca="false">IF(OR(B246="",E246&lt;&gt;"Yes"),"",IFERROR(INDEX(Clients!$F$6:$F$25,MATCH(B246,Clients!$B$6:$B$25,0)),""))</f>
        <v>125</v>
      </c>
      <c r="G246" s="73" t="n">
        <f aca="false">IF(AND(ISNUMBER(D246),ISNUMBER(F246)),D246*F246,"")</f>
        <v>500</v>
      </c>
      <c r="H246" s="51" t="s">
        <v>247</v>
      </c>
      <c r="I246" s="51"/>
    </row>
    <row r="247" customFormat="false" ht="15" hidden="false" customHeight="false" outlineLevel="0" collapsed="false">
      <c r="A247" s="65" t="n">
        <v>46241</v>
      </c>
      <c r="B247" s="51" t="s">
        <v>225</v>
      </c>
      <c r="C247" s="51" t="s">
        <v>270</v>
      </c>
      <c r="D247" s="72" t="n">
        <v>4</v>
      </c>
      <c r="E247" s="51" t="s">
        <v>247</v>
      </c>
      <c r="F247" s="35" t="n">
        <f aca="false">IF(OR(B247="",E247&lt;&gt;"Yes"),"",IFERROR(INDEX(Clients!$F$6:$F$25,MATCH(B247,Clients!$B$6:$B$25,0)),""))</f>
        <v>100</v>
      </c>
      <c r="G247" s="73" t="n">
        <f aca="false">IF(AND(ISNUMBER(D247),ISNUMBER(F247)),D247*F247,"")</f>
        <v>400</v>
      </c>
      <c r="H247" s="51" t="s">
        <v>247</v>
      </c>
      <c r="I247" s="51"/>
    </row>
    <row r="248" customFormat="false" ht="15" hidden="false" customHeight="false" outlineLevel="0" collapsed="false">
      <c r="A248" s="65" t="n">
        <v>46241</v>
      </c>
      <c r="B248" s="51" t="s">
        <v>216</v>
      </c>
      <c r="C248" s="51" t="s">
        <v>253</v>
      </c>
      <c r="D248" s="72" t="n">
        <v>1.5</v>
      </c>
      <c r="E248" s="51" t="s">
        <v>247</v>
      </c>
      <c r="F248" s="35" t="n">
        <f aca="false">IF(OR(B248="",E248&lt;&gt;"Yes"),"",IFERROR(INDEX(Clients!$F$6:$F$25,MATCH(B248,Clients!$B$6:$B$25,0)),""))</f>
        <v>100</v>
      </c>
      <c r="G248" s="73" t="n">
        <f aca="false">IF(AND(ISNUMBER(D248),ISNUMBER(F248)),D248*F248,"")</f>
        <v>150</v>
      </c>
      <c r="H248" s="51" t="s">
        <v>247</v>
      </c>
      <c r="I248" s="51"/>
    </row>
    <row r="249" customFormat="false" ht="15" hidden="false" customHeight="false" outlineLevel="0" collapsed="false">
      <c r="A249" s="65" t="n">
        <v>46248</v>
      </c>
      <c r="B249" s="51" t="s">
        <v>213</v>
      </c>
      <c r="C249" s="51" t="s">
        <v>246</v>
      </c>
      <c r="D249" s="72" t="n">
        <v>3.5</v>
      </c>
      <c r="E249" s="51" t="s">
        <v>247</v>
      </c>
      <c r="F249" s="35" t="n">
        <f aca="false">IF(OR(B249="",E249&lt;&gt;"Yes"),"",IFERROR(INDEX(Clients!$F$6:$F$25,MATCH(B249,Clients!$B$6:$B$25,0)),""))</f>
        <v>135</v>
      </c>
      <c r="G249" s="73" t="n">
        <f aca="false">IF(AND(ISNUMBER(D249),ISNUMBER(F249)),D249*F249,"")</f>
        <v>472.5</v>
      </c>
      <c r="H249" s="51" t="s">
        <v>247</v>
      </c>
      <c r="I249" s="51"/>
    </row>
    <row r="250" customFormat="false" ht="15" hidden="false" customHeight="false" outlineLevel="0" collapsed="false">
      <c r="A250" s="65" t="n">
        <v>46248</v>
      </c>
      <c r="B250" s="51" t="s">
        <v>204</v>
      </c>
      <c r="C250" s="51" t="s">
        <v>257</v>
      </c>
      <c r="D250" s="72" t="n">
        <v>6</v>
      </c>
      <c r="E250" s="51" t="s">
        <v>247</v>
      </c>
      <c r="F250" s="35" t="n">
        <f aca="false">IF(OR(B250="",E250&lt;&gt;"Yes"),"",IFERROR(INDEX(Clients!$F$6:$F$25,MATCH(B250,Clients!$B$6:$B$25,0)),""))</f>
        <v>135</v>
      </c>
      <c r="G250" s="73" t="n">
        <f aca="false">IF(AND(ISNUMBER(D250),ISNUMBER(F250)),D250*F250,"")</f>
        <v>810</v>
      </c>
      <c r="H250" s="51" t="s">
        <v>247</v>
      </c>
      <c r="I250" s="51"/>
    </row>
    <row r="251" customFormat="false" ht="15" hidden="false" customHeight="false" outlineLevel="0" collapsed="false">
      <c r="A251" s="65" t="n">
        <v>46248</v>
      </c>
      <c r="B251" s="51" t="s">
        <v>117</v>
      </c>
      <c r="C251" s="51" t="s">
        <v>249</v>
      </c>
      <c r="D251" s="72" t="n">
        <v>3.25</v>
      </c>
      <c r="E251" s="51" t="s">
        <v>250</v>
      </c>
      <c r="F251" s="35" t="str">
        <f aca="false">IF(OR(B251="",E251&lt;&gt;"Yes"),"",IFERROR(INDEX(Clients!$F$6:$F$25,MATCH(B251,Clients!$B$6:$B$25,0)),""))</f>
        <v/>
      </c>
      <c r="G251" s="73" t="str">
        <f aca="false">IF(AND(ISNUMBER(D251),ISNUMBER(F251)),D251*F251,"")</f>
        <v/>
      </c>
      <c r="H251" s="51" t="s">
        <v>250</v>
      </c>
      <c r="I251" s="51"/>
    </row>
    <row r="252" customFormat="false" ht="15" hidden="false" customHeight="false" outlineLevel="0" collapsed="false">
      <c r="A252" s="65" t="n">
        <v>46248</v>
      </c>
      <c r="B252" s="51" t="s">
        <v>117</v>
      </c>
      <c r="C252" s="51" t="s">
        <v>251</v>
      </c>
      <c r="D252" s="72" t="n">
        <v>1.5</v>
      </c>
      <c r="E252" s="51" t="s">
        <v>250</v>
      </c>
      <c r="F252" s="35" t="str">
        <f aca="false">IF(OR(B252="",E252&lt;&gt;"Yes"),"",IFERROR(INDEX(Clients!$F$6:$F$25,MATCH(B252,Clients!$B$6:$B$25,0)),""))</f>
        <v/>
      </c>
      <c r="G252" s="73" t="str">
        <f aca="false">IF(AND(ISNUMBER(D252),ISNUMBER(F252)),D252*F252,"")</f>
        <v/>
      </c>
      <c r="H252" s="51" t="s">
        <v>250</v>
      </c>
      <c r="I252" s="51"/>
    </row>
    <row r="253" customFormat="false" ht="15" hidden="false" customHeight="false" outlineLevel="0" collapsed="false">
      <c r="A253" s="65" t="n">
        <v>46248</v>
      </c>
      <c r="B253" s="51" t="s">
        <v>222</v>
      </c>
      <c r="C253" s="51" t="s">
        <v>268</v>
      </c>
      <c r="D253" s="72" t="n">
        <v>4</v>
      </c>
      <c r="E253" s="51" t="s">
        <v>247</v>
      </c>
      <c r="F253" s="35" t="n">
        <f aca="false">IF(OR(B253="",E253&lt;&gt;"Yes"),"",IFERROR(INDEX(Clients!$F$6:$F$25,MATCH(B253,Clients!$B$6:$B$25,0)),""))</f>
        <v>160</v>
      </c>
      <c r="G253" s="73" t="n">
        <f aca="false">IF(AND(ISNUMBER(D253),ISNUMBER(F253)),D253*F253,"")</f>
        <v>640</v>
      </c>
      <c r="H253" s="51" t="s">
        <v>247</v>
      </c>
      <c r="I253" s="51"/>
    </row>
    <row r="254" customFormat="false" ht="15" hidden="false" customHeight="false" outlineLevel="0" collapsed="false">
      <c r="A254" s="65" t="n">
        <v>46248</v>
      </c>
      <c r="B254" s="51" t="s">
        <v>210</v>
      </c>
      <c r="C254" s="51" t="s">
        <v>261</v>
      </c>
      <c r="D254" s="72" t="n">
        <v>4.75</v>
      </c>
      <c r="E254" s="51" t="s">
        <v>247</v>
      </c>
      <c r="F254" s="35" t="n">
        <f aca="false">IF(OR(B254="",E254&lt;&gt;"Yes"),"",IFERROR(INDEX(Clients!$F$6:$F$25,MATCH(B254,Clients!$B$6:$B$25,0)),""))</f>
        <v>135</v>
      </c>
      <c r="G254" s="73" t="n">
        <f aca="false">IF(AND(ISNUMBER(D254),ISNUMBER(F254)),D254*F254,"")</f>
        <v>641.25</v>
      </c>
      <c r="H254" s="51" t="s">
        <v>247</v>
      </c>
      <c r="I254" s="51"/>
    </row>
    <row r="255" customFormat="false" ht="15" hidden="false" customHeight="false" outlineLevel="0" collapsed="false">
      <c r="A255" s="65" t="n">
        <v>46248</v>
      </c>
      <c r="B255" s="51" t="s">
        <v>207</v>
      </c>
      <c r="C255" s="51" t="s">
        <v>252</v>
      </c>
      <c r="D255" s="72" t="n">
        <v>4.25</v>
      </c>
      <c r="E255" s="51" t="s">
        <v>247</v>
      </c>
      <c r="F255" s="35" t="n">
        <f aca="false">IF(OR(B255="",E255&lt;&gt;"Yes"),"",IFERROR(INDEX(Clients!$F$6:$F$25,MATCH(B255,Clients!$B$6:$B$25,0)),""))</f>
        <v>125</v>
      </c>
      <c r="G255" s="73" t="n">
        <f aca="false">IF(AND(ISNUMBER(D255),ISNUMBER(F255)),D255*F255,"")</f>
        <v>531.25</v>
      </c>
      <c r="H255" s="51" t="s">
        <v>247</v>
      </c>
      <c r="I255" s="51"/>
    </row>
    <row r="256" customFormat="false" ht="15" hidden="false" customHeight="false" outlineLevel="0" collapsed="false">
      <c r="A256" s="65" t="n">
        <v>46248</v>
      </c>
      <c r="B256" s="51" t="s">
        <v>225</v>
      </c>
      <c r="C256" s="51" t="s">
        <v>270</v>
      </c>
      <c r="D256" s="72" t="n">
        <v>4.5</v>
      </c>
      <c r="E256" s="51" t="s">
        <v>247</v>
      </c>
      <c r="F256" s="35" t="n">
        <f aca="false">IF(OR(B256="",E256&lt;&gt;"Yes"),"",IFERROR(INDEX(Clients!$F$6:$F$25,MATCH(B256,Clients!$B$6:$B$25,0)),""))</f>
        <v>100</v>
      </c>
      <c r="G256" s="73" t="n">
        <f aca="false">IF(AND(ISNUMBER(D256),ISNUMBER(F256)),D256*F256,"")</f>
        <v>450</v>
      </c>
      <c r="H256" s="51" t="s">
        <v>247</v>
      </c>
      <c r="I256" s="51"/>
    </row>
    <row r="257" customFormat="false" ht="15" hidden="false" customHeight="false" outlineLevel="0" collapsed="false">
      <c r="A257" s="65" t="n">
        <v>46248</v>
      </c>
      <c r="B257" s="51" t="s">
        <v>216</v>
      </c>
      <c r="C257" s="51" t="s">
        <v>258</v>
      </c>
      <c r="D257" s="72" t="n">
        <v>2.75</v>
      </c>
      <c r="E257" s="51" t="s">
        <v>247</v>
      </c>
      <c r="F257" s="35" t="n">
        <f aca="false">IF(OR(B257="",E257&lt;&gt;"Yes"),"",IFERROR(INDEX(Clients!$F$6:$F$25,MATCH(B257,Clients!$B$6:$B$25,0)),""))</f>
        <v>100</v>
      </c>
      <c r="G257" s="73" t="n">
        <f aca="false">IF(AND(ISNUMBER(D257),ISNUMBER(F257)),D257*F257,"")</f>
        <v>275</v>
      </c>
      <c r="H257" s="51" t="s">
        <v>247</v>
      </c>
      <c r="I257" s="51"/>
    </row>
    <row r="258" customFormat="false" ht="15" hidden="false" customHeight="false" outlineLevel="0" collapsed="false">
      <c r="A258" s="65" t="n">
        <v>46255</v>
      </c>
      <c r="B258" s="51" t="s">
        <v>213</v>
      </c>
      <c r="C258" s="51" t="s">
        <v>256</v>
      </c>
      <c r="D258" s="72" t="n">
        <v>2</v>
      </c>
      <c r="E258" s="51" t="s">
        <v>247</v>
      </c>
      <c r="F258" s="35" t="n">
        <f aca="false">IF(OR(B258="",E258&lt;&gt;"Yes"),"",IFERROR(INDEX(Clients!$F$6:$F$25,MATCH(B258,Clients!$B$6:$B$25,0)),""))</f>
        <v>135</v>
      </c>
      <c r="G258" s="73" t="n">
        <f aca="false">IF(AND(ISNUMBER(D258),ISNUMBER(F258)),D258*F258,"")</f>
        <v>270</v>
      </c>
      <c r="H258" s="51" t="s">
        <v>247</v>
      </c>
      <c r="I258" s="51"/>
    </row>
    <row r="259" customFormat="false" ht="15" hidden="false" customHeight="false" outlineLevel="0" collapsed="false">
      <c r="A259" s="65" t="n">
        <v>46255</v>
      </c>
      <c r="B259" s="51" t="s">
        <v>204</v>
      </c>
      <c r="C259" s="51" t="s">
        <v>262</v>
      </c>
      <c r="D259" s="72" t="n">
        <v>5.75</v>
      </c>
      <c r="E259" s="51" t="s">
        <v>247</v>
      </c>
      <c r="F259" s="35" t="n">
        <f aca="false">IF(OR(B259="",E259&lt;&gt;"Yes"),"",IFERROR(INDEX(Clients!$F$6:$F$25,MATCH(B259,Clients!$B$6:$B$25,0)),""))</f>
        <v>135</v>
      </c>
      <c r="G259" s="73" t="n">
        <f aca="false">IF(AND(ISNUMBER(D259),ISNUMBER(F259)),D259*F259,"")</f>
        <v>776.25</v>
      </c>
      <c r="H259" s="51" t="s">
        <v>247</v>
      </c>
      <c r="I259" s="51"/>
    </row>
    <row r="260" customFormat="false" ht="15" hidden="false" customHeight="false" outlineLevel="0" collapsed="false">
      <c r="A260" s="65" t="n">
        <v>46255</v>
      </c>
      <c r="B260" s="51" t="s">
        <v>117</v>
      </c>
      <c r="C260" s="51" t="s">
        <v>249</v>
      </c>
      <c r="D260" s="72" t="n">
        <v>3.75</v>
      </c>
      <c r="E260" s="51" t="s">
        <v>250</v>
      </c>
      <c r="F260" s="35" t="str">
        <f aca="false">IF(OR(B260="",E260&lt;&gt;"Yes"),"",IFERROR(INDEX(Clients!$F$6:$F$25,MATCH(B260,Clients!$B$6:$B$25,0)),""))</f>
        <v/>
      </c>
      <c r="G260" s="73" t="str">
        <f aca="false">IF(AND(ISNUMBER(D260),ISNUMBER(F260)),D260*F260,"")</f>
        <v/>
      </c>
      <c r="H260" s="51" t="s">
        <v>250</v>
      </c>
      <c r="I260" s="51"/>
    </row>
    <row r="261" customFormat="false" ht="15" hidden="false" customHeight="false" outlineLevel="0" collapsed="false">
      <c r="A261" s="65" t="n">
        <v>46255</v>
      </c>
      <c r="B261" s="51" t="s">
        <v>117</v>
      </c>
      <c r="C261" s="51" t="s">
        <v>251</v>
      </c>
      <c r="D261" s="72" t="n">
        <v>2</v>
      </c>
      <c r="E261" s="51" t="s">
        <v>250</v>
      </c>
      <c r="F261" s="35" t="str">
        <f aca="false">IF(OR(B261="",E261&lt;&gt;"Yes"),"",IFERROR(INDEX(Clients!$F$6:$F$25,MATCH(B261,Clients!$B$6:$B$25,0)),""))</f>
        <v/>
      </c>
      <c r="G261" s="73" t="str">
        <f aca="false">IF(AND(ISNUMBER(D261),ISNUMBER(F261)),D261*F261,"")</f>
        <v/>
      </c>
      <c r="H261" s="51" t="s">
        <v>250</v>
      </c>
      <c r="I261" s="51"/>
    </row>
    <row r="262" customFormat="false" ht="15" hidden="false" customHeight="false" outlineLevel="0" collapsed="false">
      <c r="A262" s="65" t="n">
        <v>46255</v>
      </c>
      <c r="B262" s="51" t="s">
        <v>222</v>
      </c>
      <c r="C262" s="51" t="s">
        <v>269</v>
      </c>
      <c r="D262" s="72" t="n">
        <v>3</v>
      </c>
      <c r="E262" s="51" t="s">
        <v>247</v>
      </c>
      <c r="F262" s="35" t="n">
        <f aca="false">IF(OR(B262="",E262&lt;&gt;"Yes"),"",IFERROR(INDEX(Clients!$F$6:$F$25,MATCH(B262,Clients!$B$6:$B$25,0)),""))</f>
        <v>160</v>
      </c>
      <c r="G262" s="73" t="n">
        <f aca="false">IF(AND(ISNUMBER(D262),ISNUMBER(F262)),D262*F262,"")</f>
        <v>480</v>
      </c>
      <c r="H262" s="51" t="s">
        <v>247</v>
      </c>
      <c r="I262" s="51"/>
    </row>
    <row r="263" customFormat="false" ht="15" hidden="false" customHeight="false" outlineLevel="0" collapsed="false">
      <c r="A263" s="65" t="n">
        <v>46255</v>
      </c>
      <c r="B263" s="51" t="s">
        <v>210</v>
      </c>
      <c r="C263" s="51" t="s">
        <v>261</v>
      </c>
      <c r="D263" s="72" t="n">
        <v>3.5</v>
      </c>
      <c r="E263" s="51" t="s">
        <v>247</v>
      </c>
      <c r="F263" s="35" t="n">
        <f aca="false">IF(OR(B263="",E263&lt;&gt;"Yes"),"",IFERROR(INDEX(Clients!$F$6:$F$25,MATCH(B263,Clients!$B$6:$B$25,0)),""))</f>
        <v>135</v>
      </c>
      <c r="G263" s="73" t="n">
        <f aca="false">IF(AND(ISNUMBER(D263),ISNUMBER(F263)),D263*F263,"")</f>
        <v>472.5</v>
      </c>
      <c r="H263" s="51" t="s">
        <v>247</v>
      </c>
      <c r="I263" s="51"/>
    </row>
    <row r="264" customFormat="false" ht="15" hidden="false" customHeight="false" outlineLevel="0" collapsed="false">
      <c r="A264" s="65" t="n">
        <v>46255</v>
      </c>
      <c r="B264" s="51" t="s">
        <v>207</v>
      </c>
      <c r="C264" s="51" t="s">
        <v>259</v>
      </c>
      <c r="D264" s="72" t="n">
        <v>5.25</v>
      </c>
      <c r="E264" s="51" t="s">
        <v>247</v>
      </c>
      <c r="F264" s="35" t="n">
        <f aca="false">IF(OR(B264="",E264&lt;&gt;"Yes"),"",IFERROR(INDEX(Clients!$F$6:$F$25,MATCH(B264,Clients!$B$6:$B$25,0)),""))</f>
        <v>125</v>
      </c>
      <c r="G264" s="73" t="n">
        <f aca="false">IF(AND(ISNUMBER(D264),ISNUMBER(F264)),D264*F264,"")</f>
        <v>656.25</v>
      </c>
      <c r="H264" s="51" t="s">
        <v>247</v>
      </c>
      <c r="I264" s="51"/>
    </row>
    <row r="265" customFormat="false" ht="15" hidden="false" customHeight="false" outlineLevel="0" collapsed="false">
      <c r="A265" s="65" t="n">
        <v>46255</v>
      </c>
      <c r="B265" s="51" t="s">
        <v>225</v>
      </c>
      <c r="C265" s="51" t="s">
        <v>271</v>
      </c>
      <c r="D265" s="72" t="n">
        <v>5.75</v>
      </c>
      <c r="E265" s="51" t="s">
        <v>247</v>
      </c>
      <c r="F265" s="35" t="n">
        <f aca="false">IF(OR(B265="",E265&lt;&gt;"Yes"),"",IFERROR(INDEX(Clients!$F$6:$F$25,MATCH(B265,Clients!$B$6:$B$25,0)),""))</f>
        <v>100</v>
      </c>
      <c r="G265" s="73" t="n">
        <f aca="false">IF(AND(ISNUMBER(D265),ISNUMBER(F265)),D265*F265,"")</f>
        <v>575</v>
      </c>
      <c r="H265" s="51" t="s">
        <v>247</v>
      </c>
      <c r="I265" s="51"/>
    </row>
    <row r="266" customFormat="false" ht="15" hidden="false" customHeight="false" outlineLevel="0" collapsed="false">
      <c r="A266" s="65" t="n">
        <v>46255</v>
      </c>
      <c r="B266" s="51" t="s">
        <v>216</v>
      </c>
      <c r="C266" s="51" t="s">
        <v>258</v>
      </c>
      <c r="D266" s="72" t="n">
        <v>1.75</v>
      </c>
      <c r="E266" s="51" t="s">
        <v>247</v>
      </c>
      <c r="F266" s="35" t="n">
        <f aca="false">IF(OR(B266="",E266&lt;&gt;"Yes"),"",IFERROR(INDEX(Clients!$F$6:$F$25,MATCH(B266,Clients!$B$6:$B$25,0)),""))</f>
        <v>100</v>
      </c>
      <c r="G266" s="73" t="n">
        <f aca="false">IF(AND(ISNUMBER(D266),ISNUMBER(F266)),D266*F266,"")</f>
        <v>175</v>
      </c>
      <c r="H266" s="51" t="s">
        <v>247</v>
      </c>
      <c r="I266" s="51"/>
    </row>
    <row r="267" customFormat="false" ht="15" hidden="false" customHeight="false" outlineLevel="0" collapsed="false">
      <c r="A267" s="65" t="n">
        <v>46262</v>
      </c>
      <c r="B267" s="51" t="s">
        <v>213</v>
      </c>
      <c r="C267" s="51" t="s">
        <v>256</v>
      </c>
      <c r="D267" s="72" t="n">
        <v>3.75</v>
      </c>
      <c r="E267" s="51" t="s">
        <v>247</v>
      </c>
      <c r="F267" s="35" t="n">
        <f aca="false">IF(OR(B267="",E267&lt;&gt;"Yes"),"",IFERROR(INDEX(Clients!$F$6:$F$25,MATCH(B267,Clients!$B$6:$B$25,0)),""))</f>
        <v>135</v>
      </c>
      <c r="G267" s="73" t="n">
        <f aca="false">IF(AND(ISNUMBER(D267),ISNUMBER(F267)),D267*F267,"")</f>
        <v>506.25</v>
      </c>
      <c r="H267" s="51" t="s">
        <v>247</v>
      </c>
      <c r="I267" s="51"/>
    </row>
    <row r="268" customFormat="false" ht="15" hidden="false" customHeight="false" outlineLevel="0" collapsed="false">
      <c r="A268" s="65" t="n">
        <v>46262</v>
      </c>
      <c r="B268" s="51" t="s">
        <v>204</v>
      </c>
      <c r="C268" s="51" t="s">
        <v>257</v>
      </c>
      <c r="D268" s="72" t="n">
        <v>5.5</v>
      </c>
      <c r="E268" s="51" t="s">
        <v>247</v>
      </c>
      <c r="F268" s="35" t="n">
        <f aca="false">IF(OR(B268="",E268&lt;&gt;"Yes"),"",IFERROR(INDEX(Clients!$F$6:$F$25,MATCH(B268,Clients!$B$6:$B$25,0)),""))</f>
        <v>135</v>
      </c>
      <c r="G268" s="73" t="n">
        <f aca="false">IF(AND(ISNUMBER(D268),ISNUMBER(F268)),D268*F268,"")</f>
        <v>742.5</v>
      </c>
      <c r="H268" s="51" t="s">
        <v>247</v>
      </c>
      <c r="I268" s="51"/>
    </row>
    <row r="269" customFormat="false" ht="15" hidden="false" customHeight="false" outlineLevel="0" collapsed="false">
      <c r="A269" s="65" t="n">
        <v>46262</v>
      </c>
      <c r="B269" s="51" t="s">
        <v>117</v>
      </c>
      <c r="C269" s="51" t="s">
        <v>249</v>
      </c>
      <c r="D269" s="72" t="n">
        <v>4.25</v>
      </c>
      <c r="E269" s="51" t="s">
        <v>250</v>
      </c>
      <c r="F269" s="35" t="str">
        <f aca="false">IF(OR(B269="",E269&lt;&gt;"Yes"),"",IFERROR(INDEX(Clients!$F$6:$F$25,MATCH(B269,Clients!$B$6:$B$25,0)),""))</f>
        <v/>
      </c>
      <c r="G269" s="73" t="str">
        <f aca="false">IF(AND(ISNUMBER(D269),ISNUMBER(F269)),D269*F269,"")</f>
        <v/>
      </c>
      <c r="H269" s="51" t="s">
        <v>250</v>
      </c>
      <c r="I269" s="51"/>
    </row>
    <row r="270" customFormat="false" ht="15" hidden="false" customHeight="false" outlineLevel="0" collapsed="false">
      <c r="A270" s="65" t="n">
        <v>46262</v>
      </c>
      <c r="B270" s="51" t="s">
        <v>117</v>
      </c>
      <c r="C270" s="51" t="s">
        <v>251</v>
      </c>
      <c r="D270" s="72" t="n">
        <v>2</v>
      </c>
      <c r="E270" s="51" t="s">
        <v>250</v>
      </c>
      <c r="F270" s="35" t="str">
        <f aca="false">IF(OR(B270="",E270&lt;&gt;"Yes"),"",IFERROR(INDEX(Clients!$F$6:$F$25,MATCH(B270,Clients!$B$6:$B$25,0)),""))</f>
        <v/>
      </c>
      <c r="G270" s="73" t="str">
        <f aca="false">IF(AND(ISNUMBER(D270),ISNUMBER(F270)),D270*F270,"")</f>
        <v/>
      </c>
      <c r="H270" s="51" t="s">
        <v>250</v>
      </c>
      <c r="I270" s="51"/>
    </row>
    <row r="271" customFormat="false" ht="15" hidden="false" customHeight="false" outlineLevel="0" collapsed="false">
      <c r="A271" s="65" t="n">
        <v>46262</v>
      </c>
      <c r="B271" s="51" t="s">
        <v>222</v>
      </c>
      <c r="C271" s="51" t="s">
        <v>267</v>
      </c>
      <c r="D271" s="72" t="n">
        <v>2.5</v>
      </c>
      <c r="E271" s="51" t="s">
        <v>247</v>
      </c>
      <c r="F271" s="35" t="n">
        <f aca="false">IF(OR(B271="",E271&lt;&gt;"Yes"),"",IFERROR(INDEX(Clients!$F$6:$F$25,MATCH(B271,Clients!$B$6:$B$25,0)),""))</f>
        <v>160</v>
      </c>
      <c r="G271" s="73" t="n">
        <f aca="false">IF(AND(ISNUMBER(D271),ISNUMBER(F271)),D271*F271,"")</f>
        <v>400</v>
      </c>
      <c r="H271" s="51" t="s">
        <v>247</v>
      </c>
      <c r="I271" s="51"/>
    </row>
    <row r="272" customFormat="false" ht="15" hidden="false" customHeight="false" outlineLevel="0" collapsed="false">
      <c r="A272" s="65" t="n">
        <v>46262</v>
      </c>
      <c r="B272" s="51" t="s">
        <v>210</v>
      </c>
      <c r="C272" s="51" t="s">
        <v>260</v>
      </c>
      <c r="D272" s="72" t="n">
        <v>2.5</v>
      </c>
      <c r="E272" s="51" t="s">
        <v>247</v>
      </c>
      <c r="F272" s="35" t="n">
        <f aca="false">IF(OR(B272="",E272&lt;&gt;"Yes"),"",IFERROR(INDEX(Clients!$F$6:$F$25,MATCH(B272,Clients!$B$6:$B$25,0)),""))</f>
        <v>135</v>
      </c>
      <c r="G272" s="73" t="n">
        <f aca="false">IF(AND(ISNUMBER(D272),ISNUMBER(F272)),D272*F272,"")</f>
        <v>337.5</v>
      </c>
      <c r="H272" s="51" t="s">
        <v>247</v>
      </c>
      <c r="I272" s="51"/>
    </row>
    <row r="273" customFormat="false" ht="15" hidden="false" customHeight="false" outlineLevel="0" collapsed="false">
      <c r="A273" s="65" t="n">
        <v>46262</v>
      </c>
      <c r="B273" s="51" t="s">
        <v>207</v>
      </c>
      <c r="C273" s="51" t="s">
        <v>259</v>
      </c>
      <c r="D273" s="72" t="n">
        <v>6.75</v>
      </c>
      <c r="E273" s="51" t="s">
        <v>247</v>
      </c>
      <c r="F273" s="35" t="n">
        <f aca="false">IF(OR(B273="",E273&lt;&gt;"Yes"),"",IFERROR(INDEX(Clients!$F$6:$F$25,MATCH(B273,Clients!$B$6:$B$25,0)),""))</f>
        <v>125</v>
      </c>
      <c r="G273" s="73" t="n">
        <f aca="false">IF(AND(ISNUMBER(D273),ISNUMBER(F273)),D273*F273,"")</f>
        <v>843.75</v>
      </c>
      <c r="H273" s="51" t="s">
        <v>247</v>
      </c>
      <c r="I273" s="51"/>
    </row>
    <row r="274" customFormat="false" ht="15" hidden="false" customHeight="false" outlineLevel="0" collapsed="false">
      <c r="A274" s="65" t="n">
        <v>46262</v>
      </c>
      <c r="B274" s="51" t="s">
        <v>225</v>
      </c>
      <c r="C274" s="51" t="s">
        <v>271</v>
      </c>
      <c r="D274" s="72" t="n">
        <v>4.25</v>
      </c>
      <c r="E274" s="51" t="s">
        <v>247</v>
      </c>
      <c r="F274" s="35" t="n">
        <f aca="false">IF(OR(B274="",E274&lt;&gt;"Yes"),"",IFERROR(INDEX(Clients!$F$6:$F$25,MATCH(B274,Clients!$B$6:$B$25,0)),""))</f>
        <v>100</v>
      </c>
      <c r="G274" s="73" t="n">
        <f aca="false">IF(AND(ISNUMBER(D274),ISNUMBER(F274)),D274*F274,"")</f>
        <v>425</v>
      </c>
      <c r="H274" s="51" t="s">
        <v>247</v>
      </c>
      <c r="I274" s="51"/>
    </row>
    <row r="275" customFormat="false" ht="15" hidden="false" customHeight="false" outlineLevel="0" collapsed="false">
      <c r="A275" s="65" t="n">
        <v>46262</v>
      </c>
      <c r="B275" s="51" t="s">
        <v>216</v>
      </c>
      <c r="C275" s="51" t="s">
        <v>253</v>
      </c>
      <c r="D275" s="72" t="n">
        <v>2</v>
      </c>
      <c r="E275" s="51" t="s">
        <v>247</v>
      </c>
      <c r="F275" s="35" t="n">
        <f aca="false">IF(OR(B275="",E275&lt;&gt;"Yes"),"",IFERROR(INDEX(Clients!$F$6:$F$25,MATCH(B275,Clients!$B$6:$B$25,0)),""))</f>
        <v>100</v>
      </c>
      <c r="G275" s="73" t="n">
        <f aca="false">IF(AND(ISNUMBER(D275),ISNUMBER(F275)),D275*F275,"")</f>
        <v>200</v>
      </c>
      <c r="H275" s="51" t="s">
        <v>247</v>
      </c>
      <c r="I275" s="51"/>
    </row>
    <row r="276" customFormat="false" ht="15" hidden="false" customHeight="false" outlineLevel="0" collapsed="false">
      <c r="A276" s="65" t="n">
        <v>46269</v>
      </c>
      <c r="B276" s="51" t="s">
        <v>213</v>
      </c>
      <c r="C276" s="51" t="s">
        <v>256</v>
      </c>
      <c r="D276" s="72" t="n">
        <v>5</v>
      </c>
      <c r="E276" s="51" t="s">
        <v>247</v>
      </c>
      <c r="F276" s="35" t="n">
        <f aca="false">IF(OR(B276="",E276&lt;&gt;"Yes"),"",IFERROR(INDEX(Clients!$F$6:$F$25,MATCH(B276,Clients!$B$6:$B$25,0)),""))</f>
        <v>135</v>
      </c>
      <c r="G276" s="73" t="n">
        <f aca="false">IF(AND(ISNUMBER(D276),ISNUMBER(F276)),D276*F276,"")</f>
        <v>675</v>
      </c>
      <c r="H276" s="51" t="s">
        <v>247</v>
      </c>
      <c r="I276" s="51"/>
    </row>
    <row r="277" customFormat="false" ht="15" hidden="false" customHeight="false" outlineLevel="0" collapsed="false">
      <c r="A277" s="65" t="n">
        <v>46269</v>
      </c>
      <c r="B277" s="51" t="s">
        <v>204</v>
      </c>
      <c r="C277" s="51" t="s">
        <v>262</v>
      </c>
      <c r="D277" s="72" t="n">
        <v>7.75</v>
      </c>
      <c r="E277" s="51" t="s">
        <v>247</v>
      </c>
      <c r="F277" s="35" t="n">
        <f aca="false">IF(OR(B277="",E277&lt;&gt;"Yes"),"",IFERROR(INDEX(Clients!$F$6:$F$25,MATCH(B277,Clients!$B$6:$B$25,0)),""))</f>
        <v>135</v>
      </c>
      <c r="G277" s="73" t="n">
        <f aca="false">IF(AND(ISNUMBER(D277),ISNUMBER(F277)),D277*F277,"")</f>
        <v>1046.25</v>
      </c>
      <c r="H277" s="51" t="s">
        <v>247</v>
      </c>
      <c r="I277" s="51"/>
    </row>
    <row r="278" customFormat="false" ht="15" hidden="false" customHeight="false" outlineLevel="0" collapsed="false">
      <c r="A278" s="65" t="n">
        <v>46269</v>
      </c>
      <c r="B278" s="51" t="s">
        <v>117</v>
      </c>
      <c r="C278" s="51" t="s">
        <v>249</v>
      </c>
      <c r="D278" s="72" t="n">
        <v>3.75</v>
      </c>
      <c r="E278" s="51" t="s">
        <v>250</v>
      </c>
      <c r="F278" s="35" t="str">
        <f aca="false">IF(OR(B278="",E278&lt;&gt;"Yes"),"",IFERROR(INDEX(Clients!$F$6:$F$25,MATCH(B278,Clients!$B$6:$B$25,0)),""))</f>
        <v/>
      </c>
      <c r="G278" s="73" t="str">
        <f aca="false">IF(AND(ISNUMBER(D278),ISNUMBER(F278)),D278*F278,"")</f>
        <v/>
      </c>
      <c r="H278" s="51" t="s">
        <v>250</v>
      </c>
      <c r="I278" s="51"/>
    </row>
    <row r="279" customFormat="false" ht="15" hidden="false" customHeight="false" outlineLevel="0" collapsed="false">
      <c r="A279" s="65" t="n">
        <v>46269</v>
      </c>
      <c r="B279" s="51" t="s">
        <v>117</v>
      </c>
      <c r="C279" s="51" t="s">
        <v>251</v>
      </c>
      <c r="D279" s="72" t="n">
        <v>1.5</v>
      </c>
      <c r="E279" s="51" t="s">
        <v>250</v>
      </c>
      <c r="F279" s="35" t="str">
        <f aca="false">IF(OR(B279="",E279&lt;&gt;"Yes"),"",IFERROR(INDEX(Clients!$F$6:$F$25,MATCH(B279,Clients!$B$6:$B$25,0)),""))</f>
        <v/>
      </c>
      <c r="G279" s="73" t="str">
        <f aca="false">IF(AND(ISNUMBER(D279),ISNUMBER(F279)),D279*F279,"")</f>
        <v/>
      </c>
      <c r="H279" s="51" t="s">
        <v>250</v>
      </c>
      <c r="I279" s="51"/>
    </row>
    <row r="280" customFormat="false" ht="15" hidden="false" customHeight="false" outlineLevel="0" collapsed="false">
      <c r="A280" s="65" t="n">
        <v>46269</v>
      </c>
      <c r="B280" s="51" t="s">
        <v>222</v>
      </c>
      <c r="C280" s="51" t="s">
        <v>269</v>
      </c>
      <c r="D280" s="72" t="n">
        <v>3</v>
      </c>
      <c r="E280" s="51" t="s">
        <v>247</v>
      </c>
      <c r="F280" s="35" t="n">
        <f aca="false">IF(OR(B280="",E280&lt;&gt;"Yes"),"",IFERROR(INDEX(Clients!$F$6:$F$25,MATCH(B280,Clients!$B$6:$B$25,0)),""))</f>
        <v>160</v>
      </c>
      <c r="G280" s="73" t="n">
        <f aca="false">IF(AND(ISNUMBER(D280),ISNUMBER(F280)),D280*F280,"")</f>
        <v>480</v>
      </c>
      <c r="H280" s="51" t="s">
        <v>247</v>
      </c>
      <c r="I280" s="51"/>
    </row>
    <row r="281" customFormat="false" ht="15" hidden="false" customHeight="false" outlineLevel="0" collapsed="false">
      <c r="A281" s="65" t="n">
        <v>46269</v>
      </c>
      <c r="B281" s="51" t="s">
        <v>210</v>
      </c>
      <c r="C281" s="51" t="s">
        <v>260</v>
      </c>
      <c r="D281" s="72" t="n">
        <v>1.5</v>
      </c>
      <c r="E281" s="51" t="s">
        <v>247</v>
      </c>
      <c r="F281" s="35" t="n">
        <f aca="false">IF(OR(B281="",E281&lt;&gt;"Yes"),"",IFERROR(INDEX(Clients!$F$6:$F$25,MATCH(B281,Clients!$B$6:$B$25,0)),""))</f>
        <v>135</v>
      </c>
      <c r="G281" s="73" t="n">
        <f aca="false">IF(AND(ISNUMBER(D281),ISNUMBER(F281)),D281*F281,"")</f>
        <v>202.5</v>
      </c>
      <c r="H281" s="51" t="s">
        <v>247</v>
      </c>
      <c r="I281" s="51"/>
    </row>
    <row r="282" customFormat="false" ht="15" hidden="false" customHeight="false" outlineLevel="0" collapsed="false">
      <c r="A282" s="65" t="n">
        <v>46269</v>
      </c>
      <c r="B282" s="51" t="s">
        <v>207</v>
      </c>
      <c r="C282" s="51" t="s">
        <v>255</v>
      </c>
      <c r="D282" s="72" t="n">
        <v>4.5</v>
      </c>
      <c r="E282" s="51" t="s">
        <v>247</v>
      </c>
      <c r="F282" s="35" t="n">
        <f aca="false">IF(OR(B282="",E282&lt;&gt;"Yes"),"",IFERROR(INDEX(Clients!$F$6:$F$25,MATCH(B282,Clients!$B$6:$B$25,0)),""))</f>
        <v>125</v>
      </c>
      <c r="G282" s="73" t="n">
        <f aca="false">IF(AND(ISNUMBER(D282),ISNUMBER(F282)),D282*F282,"")</f>
        <v>562.5</v>
      </c>
      <c r="H282" s="51" t="s">
        <v>247</v>
      </c>
      <c r="I282" s="51"/>
    </row>
    <row r="283" customFormat="false" ht="15" hidden="false" customHeight="false" outlineLevel="0" collapsed="false">
      <c r="A283" s="65" t="n">
        <v>46269</v>
      </c>
      <c r="B283" s="51" t="s">
        <v>225</v>
      </c>
      <c r="C283" s="51" t="s">
        <v>271</v>
      </c>
      <c r="D283" s="72" t="n">
        <v>3.75</v>
      </c>
      <c r="E283" s="51" t="s">
        <v>247</v>
      </c>
      <c r="F283" s="35" t="n">
        <f aca="false">IF(OR(B283="",E283&lt;&gt;"Yes"),"",IFERROR(INDEX(Clients!$F$6:$F$25,MATCH(B283,Clients!$B$6:$B$25,0)),""))</f>
        <v>100</v>
      </c>
      <c r="G283" s="73" t="n">
        <f aca="false">IF(AND(ISNUMBER(D283),ISNUMBER(F283)),D283*F283,"")</f>
        <v>375</v>
      </c>
      <c r="H283" s="51" t="s">
        <v>247</v>
      </c>
      <c r="I283" s="51"/>
    </row>
    <row r="284" customFormat="false" ht="15" hidden="false" customHeight="false" outlineLevel="0" collapsed="false">
      <c r="A284" s="65" t="n">
        <v>46269</v>
      </c>
      <c r="B284" s="51" t="s">
        <v>216</v>
      </c>
      <c r="C284" s="51" t="s">
        <v>253</v>
      </c>
      <c r="D284" s="72" t="n">
        <v>1.25</v>
      </c>
      <c r="E284" s="51" t="s">
        <v>247</v>
      </c>
      <c r="F284" s="35" t="n">
        <f aca="false">IF(OR(B284="",E284&lt;&gt;"Yes"),"",IFERROR(INDEX(Clients!$F$6:$F$25,MATCH(B284,Clients!$B$6:$B$25,0)),""))</f>
        <v>100</v>
      </c>
      <c r="G284" s="73" t="n">
        <f aca="false">IF(AND(ISNUMBER(D284),ISNUMBER(F284)),D284*F284,"")</f>
        <v>125</v>
      </c>
      <c r="H284" s="51" t="s">
        <v>247</v>
      </c>
      <c r="I284" s="51"/>
    </row>
    <row r="285" customFormat="false" ht="15" hidden="false" customHeight="false" outlineLevel="0" collapsed="false">
      <c r="A285" s="65" t="n">
        <v>46276</v>
      </c>
      <c r="B285" s="51" t="s">
        <v>213</v>
      </c>
      <c r="C285" s="51" t="s">
        <v>246</v>
      </c>
      <c r="D285" s="72" t="n">
        <v>4.25</v>
      </c>
      <c r="E285" s="51" t="s">
        <v>247</v>
      </c>
      <c r="F285" s="35" t="n">
        <f aca="false">IF(OR(B285="",E285&lt;&gt;"Yes"),"",IFERROR(INDEX(Clients!$F$6:$F$25,MATCH(B285,Clients!$B$6:$B$25,0)),""))</f>
        <v>135</v>
      </c>
      <c r="G285" s="73" t="n">
        <f aca="false">IF(AND(ISNUMBER(D285),ISNUMBER(F285)),D285*F285,"")</f>
        <v>573.75</v>
      </c>
      <c r="H285" s="51" t="s">
        <v>247</v>
      </c>
      <c r="I285" s="51"/>
    </row>
    <row r="286" customFormat="false" ht="15" hidden="false" customHeight="false" outlineLevel="0" collapsed="false">
      <c r="A286" s="65" t="n">
        <v>46276</v>
      </c>
      <c r="B286" s="51" t="s">
        <v>204</v>
      </c>
      <c r="C286" s="51" t="s">
        <v>248</v>
      </c>
      <c r="D286" s="72" t="n">
        <v>3.25</v>
      </c>
      <c r="E286" s="51" t="s">
        <v>247</v>
      </c>
      <c r="F286" s="35" t="n">
        <f aca="false">IF(OR(B286="",E286&lt;&gt;"Yes"),"",IFERROR(INDEX(Clients!$F$6:$F$25,MATCH(B286,Clients!$B$6:$B$25,0)),""))</f>
        <v>135</v>
      </c>
      <c r="G286" s="73" t="n">
        <f aca="false">IF(AND(ISNUMBER(D286),ISNUMBER(F286)),D286*F286,"")</f>
        <v>438.75</v>
      </c>
      <c r="H286" s="51" t="s">
        <v>247</v>
      </c>
      <c r="I286" s="51"/>
    </row>
    <row r="287" customFormat="false" ht="15" hidden="false" customHeight="false" outlineLevel="0" collapsed="false">
      <c r="A287" s="65" t="n">
        <v>46276</v>
      </c>
      <c r="B287" s="51" t="s">
        <v>117</v>
      </c>
      <c r="C287" s="51" t="s">
        <v>249</v>
      </c>
      <c r="D287" s="72" t="n">
        <v>3.5</v>
      </c>
      <c r="E287" s="51" t="s">
        <v>250</v>
      </c>
      <c r="F287" s="35" t="str">
        <f aca="false">IF(OR(B287="",E287&lt;&gt;"Yes"),"",IFERROR(INDEX(Clients!$F$6:$F$25,MATCH(B287,Clients!$B$6:$B$25,0)),""))</f>
        <v/>
      </c>
      <c r="G287" s="73" t="str">
        <f aca="false">IF(AND(ISNUMBER(D287),ISNUMBER(F287)),D287*F287,"")</f>
        <v/>
      </c>
      <c r="H287" s="51" t="s">
        <v>250</v>
      </c>
      <c r="I287" s="51"/>
    </row>
    <row r="288" customFormat="false" ht="15" hidden="false" customHeight="false" outlineLevel="0" collapsed="false">
      <c r="A288" s="65" t="n">
        <v>46276</v>
      </c>
      <c r="B288" s="51" t="s">
        <v>117</v>
      </c>
      <c r="C288" s="51" t="s">
        <v>251</v>
      </c>
      <c r="D288" s="72" t="n">
        <v>1.75</v>
      </c>
      <c r="E288" s="51" t="s">
        <v>250</v>
      </c>
      <c r="F288" s="35" t="str">
        <f aca="false">IF(OR(B288="",E288&lt;&gt;"Yes"),"",IFERROR(INDEX(Clients!$F$6:$F$25,MATCH(B288,Clients!$B$6:$B$25,0)),""))</f>
        <v/>
      </c>
      <c r="G288" s="73" t="str">
        <f aca="false">IF(AND(ISNUMBER(D288),ISNUMBER(F288)),D288*F288,"")</f>
        <v/>
      </c>
      <c r="H288" s="51" t="s">
        <v>250</v>
      </c>
      <c r="I288" s="51"/>
    </row>
    <row r="289" customFormat="false" ht="15" hidden="false" customHeight="false" outlineLevel="0" collapsed="false">
      <c r="A289" s="65" t="n">
        <v>46276</v>
      </c>
      <c r="B289" s="51" t="s">
        <v>222</v>
      </c>
      <c r="C289" s="51" t="s">
        <v>268</v>
      </c>
      <c r="D289" s="72" t="n">
        <v>3.5</v>
      </c>
      <c r="E289" s="51" t="s">
        <v>247</v>
      </c>
      <c r="F289" s="35" t="n">
        <f aca="false">IF(OR(B289="",E289&lt;&gt;"Yes"),"",IFERROR(INDEX(Clients!$F$6:$F$25,MATCH(B289,Clients!$B$6:$B$25,0)),""))</f>
        <v>160</v>
      </c>
      <c r="G289" s="73" t="n">
        <f aca="false">IF(AND(ISNUMBER(D289),ISNUMBER(F289)),D289*F289,"")</f>
        <v>560</v>
      </c>
      <c r="H289" s="51" t="s">
        <v>247</v>
      </c>
      <c r="I289" s="51"/>
    </row>
    <row r="290" customFormat="false" ht="15" hidden="false" customHeight="false" outlineLevel="0" collapsed="false">
      <c r="A290" s="65" t="n">
        <v>46276</v>
      </c>
      <c r="B290" s="51" t="s">
        <v>210</v>
      </c>
      <c r="C290" s="51" t="s">
        <v>265</v>
      </c>
      <c r="D290" s="72" t="n">
        <v>3</v>
      </c>
      <c r="E290" s="51" t="s">
        <v>247</v>
      </c>
      <c r="F290" s="35" t="n">
        <f aca="false">IF(OR(B290="",E290&lt;&gt;"Yes"),"",IFERROR(INDEX(Clients!$F$6:$F$25,MATCH(B290,Clients!$B$6:$B$25,0)),""))</f>
        <v>135</v>
      </c>
      <c r="G290" s="73" t="n">
        <f aca="false">IF(AND(ISNUMBER(D290),ISNUMBER(F290)),D290*F290,"")</f>
        <v>405</v>
      </c>
      <c r="H290" s="51" t="s">
        <v>247</v>
      </c>
      <c r="I290" s="51"/>
    </row>
    <row r="291" customFormat="false" ht="15" hidden="false" customHeight="false" outlineLevel="0" collapsed="false">
      <c r="A291" s="65" t="n">
        <v>46276</v>
      </c>
      <c r="B291" s="51" t="s">
        <v>207</v>
      </c>
      <c r="C291" s="51" t="s">
        <v>252</v>
      </c>
      <c r="D291" s="72" t="n">
        <v>4.75</v>
      </c>
      <c r="E291" s="51" t="s">
        <v>247</v>
      </c>
      <c r="F291" s="35" t="n">
        <f aca="false">IF(OR(B291="",E291&lt;&gt;"Yes"),"",IFERROR(INDEX(Clients!$F$6:$F$25,MATCH(B291,Clients!$B$6:$B$25,0)),""))</f>
        <v>125</v>
      </c>
      <c r="G291" s="73" t="n">
        <f aca="false">IF(AND(ISNUMBER(D291),ISNUMBER(F291)),D291*F291,"")</f>
        <v>593.75</v>
      </c>
      <c r="H291" s="51" t="s">
        <v>247</v>
      </c>
      <c r="I291" s="51"/>
    </row>
    <row r="292" customFormat="false" ht="15" hidden="false" customHeight="false" outlineLevel="0" collapsed="false">
      <c r="A292" s="65" t="n">
        <v>46276</v>
      </c>
      <c r="B292" s="51" t="s">
        <v>225</v>
      </c>
      <c r="C292" s="51" t="s">
        <v>271</v>
      </c>
      <c r="D292" s="72" t="n">
        <v>6.25</v>
      </c>
      <c r="E292" s="51" t="s">
        <v>247</v>
      </c>
      <c r="F292" s="35" t="n">
        <f aca="false">IF(OR(B292="",E292&lt;&gt;"Yes"),"",IFERROR(INDEX(Clients!$F$6:$F$25,MATCH(B292,Clients!$B$6:$B$25,0)),""))</f>
        <v>100</v>
      </c>
      <c r="G292" s="73" t="n">
        <f aca="false">IF(AND(ISNUMBER(D292),ISNUMBER(F292)),D292*F292,"")</f>
        <v>625</v>
      </c>
      <c r="H292" s="51" t="s">
        <v>247</v>
      </c>
      <c r="I292" s="51"/>
    </row>
    <row r="293" customFormat="false" ht="15" hidden="false" customHeight="false" outlineLevel="0" collapsed="false">
      <c r="A293" s="65" t="n">
        <v>46276</v>
      </c>
      <c r="B293" s="51" t="s">
        <v>216</v>
      </c>
      <c r="C293" s="51" t="s">
        <v>258</v>
      </c>
      <c r="D293" s="72" t="n">
        <v>1.5</v>
      </c>
      <c r="E293" s="51" t="s">
        <v>247</v>
      </c>
      <c r="F293" s="35" t="n">
        <f aca="false">IF(OR(B293="",E293&lt;&gt;"Yes"),"",IFERROR(INDEX(Clients!$F$6:$F$25,MATCH(B293,Clients!$B$6:$B$25,0)),""))</f>
        <v>100</v>
      </c>
      <c r="G293" s="73" t="n">
        <f aca="false">IF(AND(ISNUMBER(D293),ISNUMBER(F293)),D293*F293,"")</f>
        <v>150</v>
      </c>
      <c r="H293" s="51" t="s">
        <v>247</v>
      </c>
      <c r="I293" s="51"/>
    </row>
    <row r="294" customFormat="false" ht="15" hidden="false" customHeight="false" outlineLevel="0" collapsed="false">
      <c r="A294" s="65" t="n">
        <v>46283</v>
      </c>
      <c r="B294" s="51" t="s">
        <v>213</v>
      </c>
      <c r="C294" s="51" t="s">
        <v>254</v>
      </c>
      <c r="D294" s="72" t="n">
        <v>3.5</v>
      </c>
      <c r="E294" s="51" t="s">
        <v>247</v>
      </c>
      <c r="F294" s="35" t="n">
        <f aca="false">IF(OR(B294="",E294&lt;&gt;"Yes"),"",IFERROR(INDEX(Clients!$F$6:$F$25,MATCH(B294,Clients!$B$6:$B$25,0)),""))</f>
        <v>135</v>
      </c>
      <c r="G294" s="73" t="n">
        <f aca="false">IF(AND(ISNUMBER(D294),ISNUMBER(F294)),D294*F294,"")</f>
        <v>472.5</v>
      </c>
      <c r="H294" s="51" t="s">
        <v>247</v>
      </c>
      <c r="I294" s="51"/>
    </row>
    <row r="295" customFormat="false" ht="15" hidden="false" customHeight="false" outlineLevel="0" collapsed="false">
      <c r="A295" s="65" t="n">
        <v>46283</v>
      </c>
      <c r="B295" s="51" t="s">
        <v>204</v>
      </c>
      <c r="C295" s="51" t="s">
        <v>248</v>
      </c>
      <c r="D295" s="72" t="n">
        <v>4.75</v>
      </c>
      <c r="E295" s="51" t="s">
        <v>247</v>
      </c>
      <c r="F295" s="35" t="n">
        <f aca="false">IF(OR(B295="",E295&lt;&gt;"Yes"),"",IFERROR(INDEX(Clients!$F$6:$F$25,MATCH(B295,Clients!$B$6:$B$25,0)),""))</f>
        <v>135</v>
      </c>
      <c r="G295" s="73" t="n">
        <f aca="false">IF(AND(ISNUMBER(D295),ISNUMBER(F295)),D295*F295,"")</f>
        <v>641.25</v>
      </c>
      <c r="H295" s="51" t="s">
        <v>247</v>
      </c>
      <c r="I295" s="51"/>
    </row>
    <row r="296" customFormat="false" ht="15" hidden="false" customHeight="false" outlineLevel="0" collapsed="false">
      <c r="A296" s="65" t="n">
        <v>46283</v>
      </c>
      <c r="B296" s="51" t="s">
        <v>117</v>
      </c>
      <c r="C296" s="51" t="s">
        <v>249</v>
      </c>
      <c r="D296" s="72" t="n">
        <v>3.5</v>
      </c>
      <c r="E296" s="51" t="s">
        <v>250</v>
      </c>
      <c r="F296" s="35" t="str">
        <f aca="false">IF(OR(B296="",E296&lt;&gt;"Yes"),"",IFERROR(INDEX(Clients!$F$6:$F$25,MATCH(B296,Clients!$B$6:$B$25,0)),""))</f>
        <v/>
      </c>
      <c r="G296" s="73" t="str">
        <f aca="false">IF(AND(ISNUMBER(D296),ISNUMBER(F296)),D296*F296,"")</f>
        <v/>
      </c>
      <c r="H296" s="51" t="s">
        <v>250</v>
      </c>
      <c r="I296" s="51"/>
    </row>
    <row r="297" customFormat="false" ht="15" hidden="false" customHeight="false" outlineLevel="0" collapsed="false">
      <c r="A297" s="65" t="n">
        <v>46283</v>
      </c>
      <c r="B297" s="51" t="s">
        <v>117</v>
      </c>
      <c r="C297" s="51" t="s">
        <v>251</v>
      </c>
      <c r="D297" s="72" t="n">
        <v>2</v>
      </c>
      <c r="E297" s="51" t="s">
        <v>250</v>
      </c>
      <c r="F297" s="35" t="str">
        <f aca="false">IF(OR(B297="",E297&lt;&gt;"Yes"),"",IFERROR(INDEX(Clients!$F$6:$F$25,MATCH(B297,Clients!$B$6:$B$25,0)),""))</f>
        <v/>
      </c>
      <c r="G297" s="73" t="str">
        <f aca="false">IF(AND(ISNUMBER(D297),ISNUMBER(F297)),D297*F297,"")</f>
        <v/>
      </c>
      <c r="H297" s="51" t="s">
        <v>250</v>
      </c>
      <c r="I297" s="51"/>
    </row>
    <row r="298" customFormat="false" ht="15" hidden="false" customHeight="false" outlineLevel="0" collapsed="false">
      <c r="A298" s="65" t="n">
        <v>46283</v>
      </c>
      <c r="B298" s="51" t="s">
        <v>222</v>
      </c>
      <c r="C298" s="51" t="s">
        <v>269</v>
      </c>
      <c r="D298" s="72" t="n">
        <v>2.75</v>
      </c>
      <c r="E298" s="51" t="s">
        <v>247</v>
      </c>
      <c r="F298" s="35" t="n">
        <f aca="false">IF(OR(B298="",E298&lt;&gt;"Yes"),"",IFERROR(INDEX(Clients!$F$6:$F$25,MATCH(B298,Clients!$B$6:$B$25,0)),""))</f>
        <v>160</v>
      </c>
      <c r="G298" s="73" t="n">
        <f aca="false">IF(AND(ISNUMBER(D298),ISNUMBER(F298)),D298*F298,"")</f>
        <v>440</v>
      </c>
      <c r="H298" s="51" t="s">
        <v>247</v>
      </c>
      <c r="I298" s="51"/>
    </row>
    <row r="299" customFormat="false" ht="15" hidden="false" customHeight="false" outlineLevel="0" collapsed="false">
      <c r="A299" s="65" t="n">
        <v>46283</v>
      </c>
      <c r="B299" s="51" t="s">
        <v>210</v>
      </c>
      <c r="C299" s="51" t="s">
        <v>261</v>
      </c>
      <c r="D299" s="72" t="n">
        <v>3.5</v>
      </c>
      <c r="E299" s="51" t="s">
        <v>247</v>
      </c>
      <c r="F299" s="35" t="n">
        <f aca="false">IF(OR(B299="",E299&lt;&gt;"Yes"),"",IFERROR(INDEX(Clients!$F$6:$F$25,MATCH(B299,Clients!$B$6:$B$25,0)),""))</f>
        <v>135</v>
      </c>
      <c r="G299" s="73" t="n">
        <f aca="false">IF(AND(ISNUMBER(D299),ISNUMBER(F299)),D299*F299,"")</f>
        <v>472.5</v>
      </c>
      <c r="H299" s="51" t="s">
        <v>247</v>
      </c>
      <c r="I299" s="51"/>
    </row>
    <row r="300" customFormat="false" ht="15" hidden="false" customHeight="false" outlineLevel="0" collapsed="false">
      <c r="A300" s="65" t="n">
        <v>46283</v>
      </c>
      <c r="B300" s="51" t="s">
        <v>207</v>
      </c>
      <c r="C300" s="51" t="s">
        <v>259</v>
      </c>
      <c r="D300" s="72" t="n">
        <v>5.5</v>
      </c>
      <c r="E300" s="51" t="s">
        <v>247</v>
      </c>
      <c r="F300" s="35" t="n">
        <f aca="false">IF(OR(B300="",E300&lt;&gt;"Yes"),"",IFERROR(INDEX(Clients!$F$6:$F$25,MATCH(B300,Clients!$B$6:$B$25,0)),""))</f>
        <v>125</v>
      </c>
      <c r="G300" s="73" t="n">
        <f aca="false">IF(AND(ISNUMBER(D300),ISNUMBER(F300)),D300*F300,"")</f>
        <v>687.5</v>
      </c>
      <c r="H300" s="51" t="s">
        <v>247</v>
      </c>
      <c r="I300" s="51"/>
    </row>
    <row r="301" customFormat="false" ht="15" hidden="false" customHeight="false" outlineLevel="0" collapsed="false">
      <c r="A301" s="65" t="n">
        <v>46283</v>
      </c>
      <c r="B301" s="51" t="s">
        <v>225</v>
      </c>
      <c r="C301" s="51" t="s">
        <v>271</v>
      </c>
      <c r="D301" s="72" t="n">
        <v>6.25</v>
      </c>
      <c r="E301" s="51" t="s">
        <v>247</v>
      </c>
      <c r="F301" s="35" t="n">
        <f aca="false">IF(OR(B301="",E301&lt;&gt;"Yes"),"",IFERROR(INDEX(Clients!$F$6:$F$25,MATCH(B301,Clients!$B$6:$B$25,0)),""))</f>
        <v>100</v>
      </c>
      <c r="G301" s="73" t="n">
        <f aca="false">IF(AND(ISNUMBER(D301),ISNUMBER(F301)),D301*F301,"")</f>
        <v>625</v>
      </c>
      <c r="H301" s="51" t="s">
        <v>247</v>
      </c>
      <c r="I301" s="51"/>
    </row>
    <row r="302" customFormat="false" ht="15" hidden="false" customHeight="false" outlineLevel="0" collapsed="false">
      <c r="A302" s="65" t="n">
        <v>46283</v>
      </c>
      <c r="B302" s="51" t="s">
        <v>216</v>
      </c>
      <c r="C302" s="51" t="s">
        <v>253</v>
      </c>
      <c r="D302" s="72" t="n">
        <v>1.75</v>
      </c>
      <c r="E302" s="51" t="s">
        <v>247</v>
      </c>
      <c r="F302" s="35" t="n">
        <f aca="false">IF(OR(B302="",E302&lt;&gt;"Yes"),"",IFERROR(INDEX(Clients!$F$6:$F$25,MATCH(B302,Clients!$B$6:$B$25,0)),""))</f>
        <v>100</v>
      </c>
      <c r="G302" s="73" t="n">
        <f aca="false">IF(AND(ISNUMBER(D302),ISNUMBER(F302)),D302*F302,"")</f>
        <v>175</v>
      </c>
      <c r="H302" s="51" t="s">
        <v>247</v>
      </c>
      <c r="I302" s="51"/>
    </row>
    <row r="303" customFormat="false" ht="15" hidden="false" customHeight="false" outlineLevel="0" collapsed="false">
      <c r="A303" s="65" t="n">
        <v>46290</v>
      </c>
      <c r="B303" s="51" t="s">
        <v>213</v>
      </c>
      <c r="C303" s="51" t="s">
        <v>254</v>
      </c>
      <c r="D303" s="72" t="n">
        <v>3.5</v>
      </c>
      <c r="E303" s="51" t="s">
        <v>247</v>
      </c>
      <c r="F303" s="35" t="n">
        <f aca="false">IF(OR(B303="",E303&lt;&gt;"Yes"),"",IFERROR(INDEX(Clients!$F$6:$F$25,MATCH(B303,Clients!$B$6:$B$25,0)),""))</f>
        <v>135</v>
      </c>
      <c r="G303" s="73" t="n">
        <f aca="false">IF(AND(ISNUMBER(D303),ISNUMBER(F303)),D303*F303,"")</f>
        <v>472.5</v>
      </c>
      <c r="H303" s="51" t="s">
        <v>247</v>
      </c>
      <c r="I303" s="51"/>
    </row>
    <row r="304" customFormat="false" ht="15" hidden="false" customHeight="false" outlineLevel="0" collapsed="false">
      <c r="A304" s="65" t="n">
        <v>46290</v>
      </c>
      <c r="B304" s="51" t="s">
        <v>204</v>
      </c>
      <c r="C304" s="51" t="s">
        <v>262</v>
      </c>
      <c r="D304" s="72" t="n">
        <v>7.5</v>
      </c>
      <c r="E304" s="51" t="s">
        <v>247</v>
      </c>
      <c r="F304" s="35" t="n">
        <f aca="false">IF(OR(B304="",E304&lt;&gt;"Yes"),"",IFERROR(INDEX(Clients!$F$6:$F$25,MATCH(B304,Clients!$B$6:$B$25,0)),""))</f>
        <v>135</v>
      </c>
      <c r="G304" s="73" t="n">
        <f aca="false">IF(AND(ISNUMBER(D304),ISNUMBER(F304)),D304*F304,"")</f>
        <v>1012.5</v>
      </c>
      <c r="H304" s="51" t="s">
        <v>247</v>
      </c>
      <c r="I304" s="51"/>
    </row>
    <row r="305" customFormat="false" ht="15" hidden="false" customHeight="false" outlineLevel="0" collapsed="false">
      <c r="A305" s="65" t="n">
        <v>46290</v>
      </c>
      <c r="B305" s="51" t="s">
        <v>117</v>
      </c>
      <c r="C305" s="51" t="s">
        <v>249</v>
      </c>
      <c r="D305" s="72" t="n">
        <v>4.5</v>
      </c>
      <c r="E305" s="51" t="s">
        <v>250</v>
      </c>
      <c r="F305" s="35" t="str">
        <f aca="false">IF(OR(B305="",E305&lt;&gt;"Yes"),"",IFERROR(INDEX(Clients!$F$6:$F$25,MATCH(B305,Clients!$B$6:$B$25,0)),""))</f>
        <v/>
      </c>
      <c r="G305" s="73" t="str">
        <f aca="false">IF(AND(ISNUMBER(D305),ISNUMBER(F305)),D305*F305,"")</f>
        <v/>
      </c>
      <c r="H305" s="51" t="s">
        <v>250</v>
      </c>
      <c r="I305" s="51"/>
    </row>
    <row r="306" customFormat="false" ht="15" hidden="false" customHeight="false" outlineLevel="0" collapsed="false">
      <c r="A306" s="65" t="n">
        <v>46290</v>
      </c>
      <c r="B306" s="51" t="s">
        <v>117</v>
      </c>
      <c r="C306" s="51" t="s">
        <v>251</v>
      </c>
      <c r="D306" s="72" t="n">
        <v>2.25</v>
      </c>
      <c r="E306" s="51" t="s">
        <v>250</v>
      </c>
      <c r="F306" s="35" t="str">
        <f aca="false">IF(OR(B306="",E306&lt;&gt;"Yes"),"",IFERROR(INDEX(Clients!$F$6:$F$25,MATCH(B306,Clients!$B$6:$B$25,0)),""))</f>
        <v/>
      </c>
      <c r="G306" s="73" t="str">
        <f aca="false">IF(AND(ISNUMBER(D306),ISNUMBER(F306)),D306*F306,"")</f>
        <v/>
      </c>
      <c r="H306" s="51" t="s">
        <v>250</v>
      </c>
      <c r="I306" s="51"/>
    </row>
    <row r="307" customFormat="false" ht="15" hidden="false" customHeight="false" outlineLevel="0" collapsed="false">
      <c r="A307" s="65" t="n">
        <v>46290</v>
      </c>
      <c r="B307" s="51" t="s">
        <v>222</v>
      </c>
      <c r="C307" s="51" t="s">
        <v>269</v>
      </c>
      <c r="D307" s="72" t="n">
        <v>2.75</v>
      </c>
      <c r="E307" s="51" t="s">
        <v>247</v>
      </c>
      <c r="F307" s="35" t="n">
        <f aca="false">IF(OR(B307="",E307&lt;&gt;"Yes"),"",IFERROR(INDEX(Clients!$F$6:$F$25,MATCH(B307,Clients!$B$6:$B$25,0)),""))</f>
        <v>160</v>
      </c>
      <c r="G307" s="73" t="n">
        <f aca="false">IF(AND(ISNUMBER(D307),ISNUMBER(F307)),D307*F307,"")</f>
        <v>440</v>
      </c>
      <c r="H307" s="51" t="s">
        <v>247</v>
      </c>
      <c r="I307" s="51"/>
    </row>
    <row r="308" customFormat="false" ht="15" hidden="false" customHeight="false" outlineLevel="0" collapsed="false">
      <c r="A308" s="65" t="n">
        <v>46290</v>
      </c>
      <c r="B308" s="51" t="s">
        <v>210</v>
      </c>
      <c r="C308" s="51" t="s">
        <v>260</v>
      </c>
      <c r="D308" s="72" t="n">
        <v>4</v>
      </c>
      <c r="E308" s="51" t="s">
        <v>247</v>
      </c>
      <c r="F308" s="35" t="n">
        <f aca="false">IF(OR(B308="",E308&lt;&gt;"Yes"),"",IFERROR(INDEX(Clients!$F$6:$F$25,MATCH(B308,Clients!$B$6:$B$25,0)),""))</f>
        <v>135</v>
      </c>
      <c r="G308" s="73" t="n">
        <f aca="false">IF(AND(ISNUMBER(D308),ISNUMBER(F308)),D308*F308,"")</f>
        <v>540</v>
      </c>
      <c r="H308" s="51" t="s">
        <v>247</v>
      </c>
      <c r="I308" s="51"/>
    </row>
    <row r="309" customFormat="false" ht="15" hidden="false" customHeight="false" outlineLevel="0" collapsed="false">
      <c r="A309" s="65" t="n">
        <v>46290</v>
      </c>
      <c r="B309" s="51" t="s">
        <v>207</v>
      </c>
      <c r="C309" s="51" t="s">
        <v>255</v>
      </c>
      <c r="D309" s="72" t="n">
        <v>4.25</v>
      </c>
      <c r="E309" s="51" t="s">
        <v>247</v>
      </c>
      <c r="F309" s="35" t="n">
        <f aca="false">IF(OR(B309="",E309&lt;&gt;"Yes"),"",IFERROR(INDEX(Clients!$F$6:$F$25,MATCH(B309,Clients!$B$6:$B$25,0)),""))</f>
        <v>125</v>
      </c>
      <c r="G309" s="73" t="n">
        <f aca="false">IF(AND(ISNUMBER(D309),ISNUMBER(F309)),D309*F309,"")</f>
        <v>531.25</v>
      </c>
      <c r="H309" s="51" t="s">
        <v>247</v>
      </c>
      <c r="I309" s="51"/>
    </row>
    <row r="310" customFormat="false" ht="15" hidden="false" customHeight="false" outlineLevel="0" collapsed="false">
      <c r="A310" s="65" t="n">
        <v>46290</v>
      </c>
      <c r="B310" s="51" t="s">
        <v>225</v>
      </c>
      <c r="C310" s="51" t="s">
        <v>270</v>
      </c>
      <c r="D310" s="72" t="n">
        <v>4.75</v>
      </c>
      <c r="E310" s="51" t="s">
        <v>247</v>
      </c>
      <c r="F310" s="35" t="n">
        <f aca="false">IF(OR(B310="",E310&lt;&gt;"Yes"),"",IFERROR(INDEX(Clients!$F$6:$F$25,MATCH(B310,Clients!$B$6:$B$25,0)),""))</f>
        <v>100</v>
      </c>
      <c r="G310" s="73" t="n">
        <f aca="false">IF(AND(ISNUMBER(D310),ISNUMBER(F310)),D310*F310,"")</f>
        <v>475</v>
      </c>
      <c r="H310" s="51" t="s">
        <v>247</v>
      </c>
      <c r="I310" s="51"/>
    </row>
    <row r="311" customFormat="false" ht="15" hidden="false" customHeight="false" outlineLevel="0" collapsed="false">
      <c r="A311" s="65" t="n">
        <v>46290</v>
      </c>
      <c r="B311" s="51" t="s">
        <v>216</v>
      </c>
      <c r="C311" s="51" t="s">
        <v>258</v>
      </c>
      <c r="D311" s="72" t="n">
        <v>1.5</v>
      </c>
      <c r="E311" s="51" t="s">
        <v>247</v>
      </c>
      <c r="F311" s="35" t="n">
        <f aca="false">IF(OR(B311="",E311&lt;&gt;"Yes"),"",IFERROR(INDEX(Clients!$F$6:$F$25,MATCH(B311,Clients!$B$6:$B$25,0)),""))</f>
        <v>100</v>
      </c>
      <c r="G311" s="73" t="n">
        <f aca="false">IF(AND(ISNUMBER(D311),ISNUMBER(F311)),D311*F311,"")</f>
        <v>150</v>
      </c>
      <c r="H311" s="51" t="s">
        <v>247</v>
      </c>
      <c r="I311" s="51"/>
    </row>
    <row r="312" customFormat="false" ht="15" hidden="false" customHeight="false" outlineLevel="0" collapsed="false">
      <c r="A312" s="65" t="n">
        <v>46297</v>
      </c>
      <c r="B312" s="51" t="s">
        <v>213</v>
      </c>
      <c r="C312" s="51" t="s">
        <v>246</v>
      </c>
      <c r="D312" s="72" t="n">
        <v>2.75</v>
      </c>
      <c r="E312" s="51" t="s">
        <v>247</v>
      </c>
      <c r="F312" s="35" t="n">
        <f aca="false">IF(OR(B312="",E312&lt;&gt;"Yes"),"",IFERROR(INDEX(Clients!$F$6:$F$25,MATCH(B312,Clients!$B$6:$B$25,0)),""))</f>
        <v>135</v>
      </c>
      <c r="G312" s="73" t="n">
        <f aca="false">IF(AND(ISNUMBER(D312),ISNUMBER(F312)),D312*F312,"")</f>
        <v>371.25</v>
      </c>
      <c r="H312" s="51" t="s">
        <v>247</v>
      </c>
      <c r="I312" s="51"/>
    </row>
    <row r="313" customFormat="false" ht="15" hidden="false" customHeight="false" outlineLevel="0" collapsed="false">
      <c r="A313" s="65" t="n">
        <v>46297</v>
      </c>
      <c r="B313" s="51" t="s">
        <v>204</v>
      </c>
      <c r="C313" s="51" t="s">
        <v>257</v>
      </c>
      <c r="D313" s="72" t="n">
        <v>8.25</v>
      </c>
      <c r="E313" s="51" t="s">
        <v>247</v>
      </c>
      <c r="F313" s="35" t="n">
        <f aca="false">IF(OR(B313="",E313&lt;&gt;"Yes"),"",IFERROR(INDEX(Clients!$F$6:$F$25,MATCH(B313,Clients!$B$6:$B$25,0)),""))</f>
        <v>135</v>
      </c>
      <c r="G313" s="73" t="n">
        <f aca="false">IF(AND(ISNUMBER(D313),ISNUMBER(F313)),D313*F313,"")</f>
        <v>1113.75</v>
      </c>
      <c r="H313" s="51" t="s">
        <v>247</v>
      </c>
      <c r="I313" s="51"/>
    </row>
    <row r="314" customFormat="false" ht="15" hidden="false" customHeight="false" outlineLevel="0" collapsed="false">
      <c r="A314" s="65" t="n">
        <v>46297</v>
      </c>
      <c r="B314" s="51" t="s">
        <v>117</v>
      </c>
      <c r="C314" s="51" t="s">
        <v>249</v>
      </c>
      <c r="D314" s="72" t="n">
        <v>4</v>
      </c>
      <c r="E314" s="51" t="s">
        <v>250</v>
      </c>
      <c r="F314" s="35" t="str">
        <f aca="false">IF(OR(B314="",E314&lt;&gt;"Yes"),"",IFERROR(INDEX(Clients!$F$6:$F$25,MATCH(B314,Clients!$B$6:$B$25,0)),""))</f>
        <v/>
      </c>
      <c r="G314" s="73" t="str">
        <f aca="false">IF(AND(ISNUMBER(D314),ISNUMBER(F314)),D314*F314,"")</f>
        <v/>
      </c>
      <c r="H314" s="51" t="s">
        <v>250</v>
      </c>
      <c r="I314" s="51"/>
    </row>
    <row r="315" customFormat="false" ht="15" hidden="false" customHeight="false" outlineLevel="0" collapsed="false">
      <c r="A315" s="65" t="n">
        <v>46297</v>
      </c>
      <c r="B315" s="51" t="s">
        <v>117</v>
      </c>
      <c r="C315" s="51" t="s">
        <v>251</v>
      </c>
      <c r="D315" s="72" t="n">
        <v>2</v>
      </c>
      <c r="E315" s="51" t="s">
        <v>250</v>
      </c>
      <c r="F315" s="35" t="str">
        <f aca="false">IF(OR(B315="",E315&lt;&gt;"Yes"),"",IFERROR(INDEX(Clients!$F$6:$F$25,MATCH(B315,Clients!$B$6:$B$25,0)),""))</f>
        <v/>
      </c>
      <c r="G315" s="73" t="str">
        <f aca="false">IF(AND(ISNUMBER(D315),ISNUMBER(F315)),D315*F315,"")</f>
        <v/>
      </c>
      <c r="H315" s="51" t="s">
        <v>250</v>
      </c>
      <c r="I315" s="51"/>
    </row>
    <row r="316" customFormat="false" ht="15" hidden="false" customHeight="false" outlineLevel="0" collapsed="false">
      <c r="A316" s="65" t="n">
        <v>46297</v>
      </c>
      <c r="B316" s="51" t="s">
        <v>222</v>
      </c>
      <c r="C316" s="51" t="s">
        <v>269</v>
      </c>
      <c r="D316" s="72" t="n">
        <v>3.25</v>
      </c>
      <c r="E316" s="51" t="s">
        <v>247</v>
      </c>
      <c r="F316" s="35" t="n">
        <f aca="false">IF(OR(B316="",E316&lt;&gt;"Yes"),"",IFERROR(INDEX(Clients!$F$6:$F$25,MATCH(B316,Clients!$B$6:$B$25,0)),""))</f>
        <v>160</v>
      </c>
      <c r="G316" s="73" t="n">
        <f aca="false">IF(AND(ISNUMBER(D316),ISNUMBER(F316)),D316*F316,"")</f>
        <v>520</v>
      </c>
      <c r="H316" s="51" t="s">
        <v>250</v>
      </c>
      <c r="I316" s="51"/>
    </row>
    <row r="317" customFormat="false" ht="15" hidden="false" customHeight="false" outlineLevel="0" collapsed="false">
      <c r="A317" s="65" t="n">
        <v>46297</v>
      </c>
      <c r="B317" s="51" t="s">
        <v>210</v>
      </c>
      <c r="C317" s="51" t="s">
        <v>260</v>
      </c>
      <c r="D317" s="72" t="n">
        <v>5.5</v>
      </c>
      <c r="E317" s="51" t="s">
        <v>247</v>
      </c>
      <c r="F317" s="35" t="n">
        <f aca="false">IF(OR(B317="",E317&lt;&gt;"Yes"),"",IFERROR(INDEX(Clients!$F$6:$F$25,MATCH(B317,Clients!$B$6:$B$25,0)),""))</f>
        <v>135</v>
      </c>
      <c r="G317" s="73" t="n">
        <f aca="false">IF(AND(ISNUMBER(D317),ISNUMBER(F317)),D317*F317,"")</f>
        <v>742.5</v>
      </c>
      <c r="H317" s="51" t="s">
        <v>250</v>
      </c>
      <c r="I317" s="51"/>
    </row>
    <row r="318" customFormat="false" ht="15" hidden="false" customHeight="false" outlineLevel="0" collapsed="false">
      <c r="A318" s="65" t="n">
        <v>46297</v>
      </c>
      <c r="B318" s="51" t="s">
        <v>207</v>
      </c>
      <c r="C318" s="51" t="s">
        <v>259</v>
      </c>
      <c r="D318" s="72" t="n">
        <v>2.75</v>
      </c>
      <c r="E318" s="51" t="s">
        <v>247</v>
      </c>
      <c r="F318" s="35" t="n">
        <f aca="false">IF(OR(B318="",E318&lt;&gt;"Yes"),"",IFERROR(INDEX(Clients!$F$6:$F$25,MATCH(B318,Clients!$B$6:$B$25,0)),""))</f>
        <v>125</v>
      </c>
      <c r="G318" s="73" t="n">
        <f aca="false">IF(AND(ISNUMBER(D318),ISNUMBER(F318)),D318*F318,"")</f>
        <v>343.75</v>
      </c>
      <c r="H318" s="51" t="s">
        <v>250</v>
      </c>
      <c r="I318" s="51"/>
    </row>
    <row r="319" customFormat="false" ht="15" hidden="false" customHeight="false" outlineLevel="0" collapsed="false">
      <c r="A319" s="65" t="n">
        <v>46297</v>
      </c>
      <c r="B319" s="51" t="s">
        <v>216</v>
      </c>
      <c r="C319" s="51" t="s">
        <v>258</v>
      </c>
      <c r="D319" s="72" t="n">
        <v>1.5</v>
      </c>
      <c r="E319" s="51" t="s">
        <v>247</v>
      </c>
      <c r="F319" s="35" t="n">
        <f aca="false">IF(OR(B319="",E319&lt;&gt;"Yes"),"",IFERROR(INDEX(Clients!$F$6:$F$25,MATCH(B319,Clients!$B$6:$B$25,0)),""))</f>
        <v>100</v>
      </c>
      <c r="G319" s="73" t="n">
        <f aca="false">IF(AND(ISNUMBER(D319),ISNUMBER(F319)),D319*F319,"")</f>
        <v>150</v>
      </c>
      <c r="H319" s="51" t="s">
        <v>250</v>
      </c>
      <c r="I319" s="51"/>
    </row>
    <row r="320" customFormat="false" ht="15" hidden="false" customHeight="false" outlineLevel="0" collapsed="false">
      <c r="A320" s="65" t="n">
        <v>46304</v>
      </c>
      <c r="B320" s="51" t="s">
        <v>213</v>
      </c>
      <c r="C320" s="51" t="s">
        <v>254</v>
      </c>
      <c r="D320" s="72" t="n">
        <v>4.75</v>
      </c>
      <c r="E320" s="51" t="s">
        <v>247</v>
      </c>
      <c r="F320" s="35" t="n">
        <f aca="false">IF(OR(B320="",E320&lt;&gt;"Yes"),"",IFERROR(INDEX(Clients!$F$6:$F$25,MATCH(B320,Clients!$B$6:$B$25,0)),""))</f>
        <v>135</v>
      </c>
      <c r="G320" s="73" t="n">
        <f aca="false">IF(AND(ISNUMBER(D320),ISNUMBER(F320)),D320*F320,"")</f>
        <v>641.25</v>
      </c>
      <c r="H320" s="51" t="s">
        <v>247</v>
      </c>
      <c r="I320" s="51"/>
    </row>
    <row r="321" customFormat="false" ht="15" hidden="false" customHeight="false" outlineLevel="0" collapsed="false">
      <c r="A321" s="65" t="n">
        <v>46304</v>
      </c>
      <c r="B321" s="51" t="s">
        <v>204</v>
      </c>
      <c r="C321" s="51" t="s">
        <v>248</v>
      </c>
      <c r="D321" s="72" t="n">
        <v>3.5</v>
      </c>
      <c r="E321" s="51" t="s">
        <v>247</v>
      </c>
      <c r="F321" s="35" t="n">
        <f aca="false">IF(OR(B321="",E321&lt;&gt;"Yes"),"",IFERROR(INDEX(Clients!$F$6:$F$25,MATCH(B321,Clients!$B$6:$B$25,0)),""))</f>
        <v>135</v>
      </c>
      <c r="G321" s="73" t="n">
        <f aca="false">IF(AND(ISNUMBER(D321),ISNUMBER(F321)),D321*F321,"")</f>
        <v>472.5</v>
      </c>
      <c r="H321" s="51" t="s">
        <v>247</v>
      </c>
      <c r="I321" s="51"/>
    </row>
    <row r="322" customFormat="false" ht="15" hidden="false" customHeight="false" outlineLevel="0" collapsed="false">
      <c r="A322" s="65" t="n">
        <v>46304</v>
      </c>
      <c r="B322" s="51" t="s">
        <v>117</v>
      </c>
      <c r="C322" s="51" t="s">
        <v>249</v>
      </c>
      <c r="D322" s="72" t="n">
        <v>3.75</v>
      </c>
      <c r="E322" s="51" t="s">
        <v>250</v>
      </c>
      <c r="F322" s="35" t="str">
        <f aca="false">IF(OR(B322="",E322&lt;&gt;"Yes"),"",IFERROR(INDEX(Clients!$F$6:$F$25,MATCH(B322,Clients!$B$6:$B$25,0)),""))</f>
        <v/>
      </c>
      <c r="G322" s="73" t="str">
        <f aca="false">IF(AND(ISNUMBER(D322),ISNUMBER(F322)),D322*F322,"")</f>
        <v/>
      </c>
      <c r="H322" s="51" t="s">
        <v>250</v>
      </c>
      <c r="I322" s="51"/>
    </row>
    <row r="323" customFormat="false" ht="15" hidden="false" customHeight="false" outlineLevel="0" collapsed="false">
      <c r="A323" s="65" t="n">
        <v>46304</v>
      </c>
      <c r="B323" s="51" t="s">
        <v>117</v>
      </c>
      <c r="C323" s="51" t="s">
        <v>251</v>
      </c>
      <c r="D323" s="72" t="n">
        <v>1.75</v>
      </c>
      <c r="E323" s="51" t="s">
        <v>250</v>
      </c>
      <c r="F323" s="35" t="str">
        <f aca="false">IF(OR(B323="",E323&lt;&gt;"Yes"),"",IFERROR(INDEX(Clients!$F$6:$F$25,MATCH(B323,Clients!$B$6:$B$25,0)),""))</f>
        <v/>
      </c>
      <c r="G323" s="73" t="str">
        <f aca="false">IF(AND(ISNUMBER(D323),ISNUMBER(F323)),D323*F323,"")</f>
        <v/>
      </c>
      <c r="H323" s="51" t="s">
        <v>250</v>
      </c>
      <c r="I323" s="51"/>
    </row>
    <row r="324" customFormat="false" ht="15" hidden="false" customHeight="false" outlineLevel="0" collapsed="false">
      <c r="A324" s="65" t="n">
        <v>46304</v>
      </c>
      <c r="B324" s="51" t="s">
        <v>222</v>
      </c>
      <c r="C324" s="51" t="s">
        <v>269</v>
      </c>
      <c r="D324" s="72" t="n">
        <v>2</v>
      </c>
      <c r="E324" s="51" t="s">
        <v>247</v>
      </c>
      <c r="F324" s="35" t="n">
        <f aca="false">IF(OR(B324="",E324&lt;&gt;"Yes"),"",IFERROR(INDEX(Clients!$F$6:$F$25,MATCH(B324,Clients!$B$6:$B$25,0)),""))</f>
        <v>160</v>
      </c>
      <c r="G324" s="73" t="n">
        <f aca="false">IF(AND(ISNUMBER(D324),ISNUMBER(F324)),D324*F324,"")</f>
        <v>320</v>
      </c>
      <c r="H324" s="51" t="s">
        <v>250</v>
      </c>
      <c r="I324" s="51"/>
    </row>
    <row r="325" customFormat="false" ht="15" hidden="false" customHeight="false" outlineLevel="0" collapsed="false">
      <c r="A325" s="65" t="n">
        <v>46304</v>
      </c>
      <c r="B325" s="51" t="s">
        <v>210</v>
      </c>
      <c r="C325" s="51" t="s">
        <v>260</v>
      </c>
      <c r="D325" s="72" t="n">
        <v>3.25</v>
      </c>
      <c r="E325" s="51" t="s">
        <v>247</v>
      </c>
      <c r="F325" s="35" t="n">
        <f aca="false">IF(OR(B325="",E325&lt;&gt;"Yes"),"",IFERROR(INDEX(Clients!$F$6:$F$25,MATCH(B325,Clients!$B$6:$B$25,0)),""))</f>
        <v>135</v>
      </c>
      <c r="G325" s="73" t="n">
        <f aca="false">IF(AND(ISNUMBER(D325),ISNUMBER(F325)),D325*F325,"")</f>
        <v>438.75</v>
      </c>
      <c r="H325" s="51" t="s">
        <v>250</v>
      </c>
      <c r="I325" s="51"/>
    </row>
    <row r="326" customFormat="false" ht="15" hidden="false" customHeight="false" outlineLevel="0" collapsed="false">
      <c r="A326" s="65" t="n">
        <v>46304</v>
      </c>
      <c r="B326" s="51" t="s">
        <v>207</v>
      </c>
      <c r="C326" s="51" t="s">
        <v>259</v>
      </c>
      <c r="D326" s="72" t="n">
        <v>5</v>
      </c>
      <c r="E326" s="51" t="s">
        <v>247</v>
      </c>
      <c r="F326" s="35" t="n">
        <f aca="false">IF(OR(B326="",E326&lt;&gt;"Yes"),"",IFERROR(INDEX(Clients!$F$6:$F$25,MATCH(B326,Clients!$B$6:$B$25,0)),""))</f>
        <v>125</v>
      </c>
      <c r="G326" s="73" t="n">
        <f aca="false">IF(AND(ISNUMBER(D326),ISNUMBER(F326)),D326*F326,"")</f>
        <v>625</v>
      </c>
      <c r="H326" s="51" t="s">
        <v>250</v>
      </c>
      <c r="I326" s="51"/>
    </row>
    <row r="327" customFormat="false" ht="15" hidden="false" customHeight="false" outlineLevel="0" collapsed="false">
      <c r="A327" s="65" t="n">
        <v>46304</v>
      </c>
      <c r="B327" s="51" t="s">
        <v>216</v>
      </c>
      <c r="C327" s="51" t="s">
        <v>258</v>
      </c>
      <c r="D327" s="72" t="n">
        <v>2.25</v>
      </c>
      <c r="E327" s="51" t="s">
        <v>247</v>
      </c>
      <c r="F327" s="35" t="n">
        <f aca="false">IF(OR(B327="",E327&lt;&gt;"Yes"),"",IFERROR(INDEX(Clients!$F$6:$F$25,MATCH(B327,Clients!$B$6:$B$25,0)),""))</f>
        <v>100</v>
      </c>
      <c r="G327" s="73" t="n">
        <f aca="false">IF(AND(ISNUMBER(D327),ISNUMBER(F327)),D327*F327,"")</f>
        <v>225</v>
      </c>
      <c r="H327" s="51" t="s">
        <v>250</v>
      </c>
      <c r="I327" s="51"/>
    </row>
    <row r="328" customFormat="false" ht="15" hidden="false" customHeight="false" outlineLevel="0" collapsed="false">
      <c r="A328" s="65"/>
      <c r="B328" s="51"/>
      <c r="C328" s="51"/>
      <c r="D328" s="72"/>
      <c r="E328" s="51"/>
      <c r="F328" s="35" t="str">
        <f aca="false">IF(OR(B328="",E328&lt;&gt;"Yes"),"",IFERROR(INDEX(Clients!$F$6:$F$25,MATCH(B328,Clients!$B$6:$B$25,0)),""))</f>
        <v/>
      </c>
      <c r="G328" s="73" t="str">
        <f aca="false">IF(AND(ISNUMBER(D328),ISNUMBER(F328)),D328*F328,"")</f>
        <v/>
      </c>
      <c r="H328" s="51"/>
      <c r="I328" s="51"/>
    </row>
    <row r="329" customFormat="false" ht="15" hidden="false" customHeight="false" outlineLevel="0" collapsed="false">
      <c r="A329" s="65"/>
      <c r="B329" s="51"/>
      <c r="C329" s="51"/>
      <c r="D329" s="72"/>
      <c r="E329" s="51"/>
      <c r="F329" s="35" t="str">
        <f aca="false">IF(OR(B329="",E329&lt;&gt;"Yes"),"",IFERROR(INDEX(Clients!$F$6:$F$25,MATCH(B329,Clients!$B$6:$B$25,0)),""))</f>
        <v/>
      </c>
      <c r="G329" s="73" t="str">
        <f aca="false">IF(AND(ISNUMBER(D329),ISNUMBER(F329)),D329*F329,"")</f>
        <v/>
      </c>
      <c r="H329" s="51"/>
      <c r="I329" s="51"/>
    </row>
    <row r="330" customFormat="false" ht="15" hidden="false" customHeight="false" outlineLevel="0" collapsed="false">
      <c r="A330" s="65"/>
      <c r="B330" s="51"/>
      <c r="C330" s="51"/>
      <c r="D330" s="72"/>
      <c r="E330" s="51"/>
      <c r="F330" s="35" t="str">
        <f aca="false">IF(OR(B330="",E330&lt;&gt;"Yes"),"",IFERROR(INDEX(Clients!$F$6:$F$25,MATCH(B330,Clients!$B$6:$B$25,0)),""))</f>
        <v/>
      </c>
      <c r="G330" s="73" t="str">
        <f aca="false">IF(AND(ISNUMBER(D330),ISNUMBER(F330)),D330*F330,"")</f>
        <v/>
      </c>
      <c r="H330" s="51"/>
      <c r="I330" s="51"/>
    </row>
    <row r="331" customFormat="false" ht="15" hidden="false" customHeight="false" outlineLevel="0" collapsed="false">
      <c r="A331" s="65"/>
      <c r="B331" s="51"/>
      <c r="C331" s="51"/>
      <c r="D331" s="72"/>
      <c r="E331" s="51"/>
      <c r="F331" s="35" t="str">
        <f aca="false">IF(OR(B331="",E331&lt;&gt;"Yes"),"",IFERROR(INDEX(Clients!$F$6:$F$25,MATCH(B331,Clients!$B$6:$B$25,0)),""))</f>
        <v/>
      </c>
      <c r="G331" s="73" t="str">
        <f aca="false">IF(AND(ISNUMBER(D331),ISNUMBER(F331)),D331*F331,"")</f>
        <v/>
      </c>
      <c r="H331" s="51"/>
      <c r="I331" s="51"/>
    </row>
    <row r="332" customFormat="false" ht="15" hidden="false" customHeight="false" outlineLevel="0" collapsed="false">
      <c r="A332" s="65"/>
      <c r="B332" s="51"/>
      <c r="C332" s="51"/>
      <c r="D332" s="72"/>
      <c r="E332" s="51"/>
      <c r="F332" s="35" t="str">
        <f aca="false">IF(OR(B332="",E332&lt;&gt;"Yes"),"",IFERROR(INDEX(Clients!$F$6:$F$25,MATCH(B332,Clients!$B$6:$B$25,0)),""))</f>
        <v/>
      </c>
      <c r="G332" s="73" t="str">
        <f aca="false">IF(AND(ISNUMBER(D332),ISNUMBER(F332)),D332*F332,"")</f>
        <v/>
      </c>
      <c r="H332" s="51"/>
      <c r="I332" s="51"/>
    </row>
    <row r="333" customFormat="false" ht="15" hidden="false" customHeight="false" outlineLevel="0" collapsed="false">
      <c r="A333" s="65"/>
      <c r="B333" s="51"/>
      <c r="C333" s="51"/>
      <c r="D333" s="72"/>
      <c r="E333" s="51"/>
      <c r="F333" s="35" t="str">
        <f aca="false">IF(OR(B333="",E333&lt;&gt;"Yes"),"",IFERROR(INDEX(Clients!$F$6:$F$25,MATCH(B333,Clients!$B$6:$B$25,0)),""))</f>
        <v/>
      </c>
      <c r="G333" s="73" t="str">
        <f aca="false">IF(AND(ISNUMBER(D333),ISNUMBER(F333)),D333*F333,"")</f>
        <v/>
      </c>
      <c r="H333" s="51"/>
      <c r="I333" s="51"/>
    </row>
    <row r="334" customFormat="false" ht="15" hidden="false" customHeight="false" outlineLevel="0" collapsed="false">
      <c r="A334" s="65"/>
      <c r="B334" s="51"/>
      <c r="C334" s="51"/>
      <c r="D334" s="72"/>
      <c r="E334" s="51"/>
      <c r="F334" s="35" t="str">
        <f aca="false">IF(OR(B334="",E334&lt;&gt;"Yes"),"",IFERROR(INDEX(Clients!$F$6:$F$25,MATCH(B334,Clients!$B$6:$B$25,0)),""))</f>
        <v/>
      </c>
      <c r="G334" s="73" t="str">
        <f aca="false">IF(AND(ISNUMBER(D334),ISNUMBER(F334)),D334*F334,"")</f>
        <v/>
      </c>
      <c r="H334" s="51"/>
      <c r="I334" s="51"/>
    </row>
    <row r="335" customFormat="false" ht="15" hidden="false" customHeight="false" outlineLevel="0" collapsed="false">
      <c r="A335" s="65"/>
      <c r="B335" s="51"/>
      <c r="C335" s="51"/>
      <c r="D335" s="72"/>
      <c r="E335" s="51"/>
      <c r="F335" s="35" t="str">
        <f aca="false">IF(OR(B335="",E335&lt;&gt;"Yes"),"",IFERROR(INDEX(Clients!$F$6:$F$25,MATCH(B335,Clients!$B$6:$B$25,0)),""))</f>
        <v/>
      </c>
      <c r="G335" s="73" t="str">
        <f aca="false">IF(AND(ISNUMBER(D335),ISNUMBER(F335)),D335*F335,"")</f>
        <v/>
      </c>
      <c r="H335" s="51"/>
      <c r="I335" s="51"/>
    </row>
    <row r="336" customFormat="false" ht="15" hidden="false" customHeight="false" outlineLevel="0" collapsed="false">
      <c r="A336" s="65"/>
      <c r="B336" s="51"/>
      <c r="C336" s="51"/>
      <c r="D336" s="72"/>
      <c r="E336" s="51"/>
      <c r="F336" s="35" t="str">
        <f aca="false">IF(OR(B336="",E336&lt;&gt;"Yes"),"",IFERROR(INDEX(Clients!$F$6:$F$25,MATCH(B336,Clients!$B$6:$B$25,0)),""))</f>
        <v/>
      </c>
      <c r="G336" s="73" t="str">
        <f aca="false">IF(AND(ISNUMBER(D336),ISNUMBER(F336)),D336*F336,"")</f>
        <v/>
      </c>
      <c r="H336" s="51"/>
      <c r="I336" s="51"/>
    </row>
    <row r="337" customFormat="false" ht="15" hidden="false" customHeight="false" outlineLevel="0" collapsed="false">
      <c r="A337" s="65"/>
      <c r="B337" s="51"/>
      <c r="C337" s="51"/>
      <c r="D337" s="72"/>
      <c r="E337" s="51"/>
      <c r="F337" s="35" t="str">
        <f aca="false">IF(OR(B337="",E337&lt;&gt;"Yes"),"",IFERROR(INDEX(Clients!$F$6:$F$25,MATCH(B337,Clients!$B$6:$B$25,0)),""))</f>
        <v/>
      </c>
      <c r="G337" s="73" t="str">
        <f aca="false">IF(AND(ISNUMBER(D337),ISNUMBER(F337)),D337*F337,"")</f>
        <v/>
      </c>
      <c r="H337" s="51"/>
      <c r="I337" s="51"/>
    </row>
    <row r="338" customFormat="false" ht="15" hidden="false" customHeight="false" outlineLevel="0" collapsed="false">
      <c r="A338" s="65"/>
      <c r="B338" s="51"/>
      <c r="C338" s="51"/>
      <c r="D338" s="72"/>
      <c r="E338" s="51"/>
      <c r="F338" s="35" t="str">
        <f aca="false">IF(OR(B338="",E338&lt;&gt;"Yes"),"",IFERROR(INDEX(Clients!$F$6:$F$25,MATCH(B338,Clients!$B$6:$B$25,0)),""))</f>
        <v/>
      </c>
      <c r="G338" s="73" t="str">
        <f aca="false">IF(AND(ISNUMBER(D338),ISNUMBER(F338)),D338*F338,"")</f>
        <v/>
      </c>
      <c r="H338" s="51"/>
      <c r="I338" s="51"/>
    </row>
    <row r="339" customFormat="false" ht="15" hidden="false" customHeight="false" outlineLevel="0" collapsed="false">
      <c r="A339" s="65"/>
      <c r="B339" s="51"/>
      <c r="C339" s="51"/>
      <c r="D339" s="72"/>
      <c r="E339" s="51"/>
      <c r="F339" s="35" t="str">
        <f aca="false">IF(OR(B339="",E339&lt;&gt;"Yes"),"",IFERROR(INDEX(Clients!$F$6:$F$25,MATCH(B339,Clients!$B$6:$B$25,0)),""))</f>
        <v/>
      </c>
      <c r="G339" s="73" t="str">
        <f aca="false">IF(AND(ISNUMBER(D339),ISNUMBER(F339)),D339*F339,"")</f>
        <v/>
      </c>
      <c r="H339" s="51"/>
      <c r="I339" s="51"/>
    </row>
    <row r="340" customFormat="false" ht="15" hidden="false" customHeight="false" outlineLevel="0" collapsed="false">
      <c r="A340" s="65"/>
      <c r="B340" s="51"/>
      <c r="C340" s="51"/>
      <c r="D340" s="72"/>
      <c r="E340" s="51"/>
      <c r="F340" s="35" t="str">
        <f aca="false">IF(OR(B340="",E340&lt;&gt;"Yes"),"",IFERROR(INDEX(Clients!$F$6:$F$25,MATCH(B340,Clients!$B$6:$B$25,0)),""))</f>
        <v/>
      </c>
      <c r="G340" s="73" t="str">
        <f aca="false">IF(AND(ISNUMBER(D340),ISNUMBER(F340)),D340*F340,"")</f>
        <v/>
      </c>
      <c r="H340" s="51"/>
      <c r="I340" s="51"/>
    </row>
    <row r="341" customFormat="false" ht="15" hidden="false" customHeight="false" outlineLevel="0" collapsed="false">
      <c r="A341" s="65"/>
      <c r="B341" s="51"/>
      <c r="C341" s="51"/>
      <c r="D341" s="72"/>
      <c r="E341" s="51"/>
      <c r="F341" s="35" t="str">
        <f aca="false">IF(OR(B341="",E341&lt;&gt;"Yes"),"",IFERROR(INDEX(Clients!$F$6:$F$25,MATCH(B341,Clients!$B$6:$B$25,0)),""))</f>
        <v/>
      </c>
      <c r="G341" s="73" t="str">
        <f aca="false">IF(AND(ISNUMBER(D341),ISNUMBER(F341)),D341*F341,"")</f>
        <v/>
      </c>
      <c r="H341" s="51"/>
      <c r="I341" s="51"/>
    </row>
    <row r="342" customFormat="false" ht="15" hidden="false" customHeight="false" outlineLevel="0" collapsed="false">
      <c r="A342" s="65"/>
      <c r="B342" s="51"/>
      <c r="C342" s="51"/>
      <c r="D342" s="72"/>
      <c r="E342" s="51"/>
      <c r="F342" s="35" t="str">
        <f aca="false">IF(OR(B342="",E342&lt;&gt;"Yes"),"",IFERROR(INDEX(Clients!$F$6:$F$25,MATCH(B342,Clients!$B$6:$B$25,0)),""))</f>
        <v/>
      </c>
      <c r="G342" s="73" t="str">
        <f aca="false">IF(AND(ISNUMBER(D342),ISNUMBER(F342)),D342*F342,"")</f>
        <v/>
      </c>
      <c r="H342" s="51"/>
      <c r="I342" s="51"/>
    </row>
    <row r="343" customFormat="false" ht="15" hidden="false" customHeight="false" outlineLevel="0" collapsed="false">
      <c r="A343" s="65"/>
      <c r="B343" s="51"/>
      <c r="C343" s="51"/>
      <c r="D343" s="72"/>
      <c r="E343" s="51"/>
      <c r="F343" s="35" t="str">
        <f aca="false">IF(OR(B343="",E343&lt;&gt;"Yes"),"",IFERROR(INDEX(Clients!$F$6:$F$25,MATCH(B343,Clients!$B$6:$B$25,0)),""))</f>
        <v/>
      </c>
      <c r="G343" s="73" t="str">
        <f aca="false">IF(AND(ISNUMBER(D343),ISNUMBER(F343)),D343*F343,"")</f>
        <v/>
      </c>
      <c r="H343" s="51"/>
      <c r="I343" s="51"/>
    </row>
    <row r="344" customFormat="false" ht="15" hidden="false" customHeight="false" outlineLevel="0" collapsed="false">
      <c r="A344" s="65"/>
      <c r="B344" s="51"/>
      <c r="C344" s="51"/>
      <c r="D344" s="72"/>
      <c r="E344" s="51"/>
      <c r="F344" s="35" t="str">
        <f aca="false">IF(OR(B344="",E344&lt;&gt;"Yes"),"",IFERROR(INDEX(Clients!$F$6:$F$25,MATCH(B344,Clients!$B$6:$B$25,0)),""))</f>
        <v/>
      </c>
      <c r="G344" s="73" t="str">
        <f aca="false">IF(AND(ISNUMBER(D344),ISNUMBER(F344)),D344*F344,"")</f>
        <v/>
      </c>
      <c r="H344" s="51"/>
      <c r="I344" s="51"/>
    </row>
    <row r="345" customFormat="false" ht="15" hidden="false" customHeight="false" outlineLevel="0" collapsed="false">
      <c r="A345" s="65"/>
      <c r="B345" s="51"/>
      <c r="C345" s="51"/>
      <c r="D345" s="72"/>
      <c r="E345" s="51"/>
      <c r="F345" s="35" t="str">
        <f aca="false">IF(OR(B345="",E345&lt;&gt;"Yes"),"",IFERROR(INDEX(Clients!$F$6:$F$25,MATCH(B345,Clients!$B$6:$B$25,0)),""))</f>
        <v/>
      </c>
      <c r="G345" s="73" t="str">
        <f aca="false">IF(AND(ISNUMBER(D345),ISNUMBER(F345)),D345*F345,"")</f>
        <v/>
      </c>
      <c r="H345" s="51"/>
      <c r="I345" s="51"/>
    </row>
    <row r="346" customFormat="false" ht="15" hidden="false" customHeight="false" outlineLevel="0" collapsed="false">
      <c r="A346" s="65"/>
      <c r="B346" s="51"/>
      <c r="C346" s="51"/>
      <c r="D346" s="72"/>
      <c r="E346" s="51"/>
      <c r="F346" s="35" t="str">
        <f aca="false">IF(OR(B346="",E346&lt;&gt;"Yes"),"",IFERROR(INDEX(Clients!$F$6:$F$25,MATCH(B346,Clients!$B$6:$B$25,0)),""))</f>
        <v/>
      </c>
      <c r="G346" s="73" t="str">
        <f aca="false">IF(AND(ISNUMBER(D346),ISNUMBER(F346)),D346*F346,"")</f>
        <v/>
      </c>
      <c r="H346" s="51"/>
      <c r="I346" s="51"/>
    </row>
    <row r="347" customFormat="false" ht="15" hidden="false" customHeight="false" outlineLevel="0" collapsed="false">
      <c r="A347" s="65"/>
      <c r="B347" s="51"/>
      <c r="C347" s="51"/>
      <c r="D347" s="72"/>
      <c r="E347" s="51"/>
      <c r="F347" s="35" t="str">
        <f aca="false">IF(OR(B347="",E347&lt;&gt;"Yes"),"",IFERROR(INDEX(Clients!$F$6:$F$25,MATCH(B347,Clients!$B$6:$B$25,0)),""))</f>
        <v/>
      </c>
      <c r="G347" s="73" t="str">
        <f aca="false">IF(AND(ISNUMBER(D347),ISNUMBER(F347)),D347*F347,"")</f>
        <v/>
      </c>
      <c r="H347" s="51"/>
      <c r="I347" s="51"/>
    </row>
    <row r="348" customFormat="false" ht="15" hidden="false" customHeight="false" outlineLevel="0" collapsed="false">
      <c r="A348" s="65"/>
      <c r="B348" s="51"/>
      <c r="C348" s="51"/>
      <c r="D348" s="72"/>
      <c r="E348" s="51"/>
      <c r="F348" s="35" t="str">
        <f aca="false">IF(OR(B348="",E348&lt;&gt;"Yes"),"",IFERROR(INDEX(Clients!$F$6:$F$25,MATCH(B348,Clients!$B$6:$B$25,0)),""))</f>
        <v/>
      </c>
      <c r="G348" s="73" t="str">
        <f aca="false">IF(AND(ISNUMBER(D348),ISNUMBER(F348)),D348*F348,"")</f>
        <v/>
      </c>
      <c r="H348" s="51"/>
      <c r="I348" s="51"/>
    </row>
    <row r="349" customFormat="false" ht="15" hidden="false" customHeight="false" outlineLevel="0" collapsed="false">
      <c r="A349" s="65"/>
      <c r="B349" s="51"/>
      <c r="C349" s="51"/>
      <c r="D349" s="72"/>
      <c r="E349" s="51"/>
      <c r="F349" s="35" t="str">
        <f aca="false">IF(OR(B349="",E349&lt;&gt;"Yes"),"",IFERROR(INDEX(Clients!$F$6:$F$25,MATCH(B349,Clients!$B$6:$B$25,0)),""))</f>
        <v/>
      </c>
      <c r="G349" s="73" t="str">
        <f aca="false">IF(AND(ISNUMBER(D349),ISNUMBER(F349)),D349*F349,"")</f>
        <v/>
      </c>
      <c r="H349" s="51"/>
      <c r="I349" s="51"/>
    </row>
    <row r="350" customFormat="false" ht="15" hidden="false" customHeight="false" outlineLevel="0" collapsed="false">
      <c r="A350" s="65"/>
      <c r="B350" s="51"/>
      <c r="C350" s="51"/>
      <c r="D350" s="72"/>
      <c r="E350" s="51"/>
      <c r="F350" s="35" t="str">
        <f aca="false">IF(OR(B350="",E350&lt;&gt;"Yes"),"",IFERROR(INDEX(Clients!$F$6:$F$25,MATCH(B350,Clients!$B$6:$B$25,0)),""))</f>
        <v/>
      </c>
      <c r="G350" s="73" t="str">
        <f aca="false">IF(AND(ISNUMBER(D350),ISNUMBER(F350)),D350*F350,"")</f>
        <v/>
      </c>
      <c r="H350" s="51"/>
      <c r="I350" s="51"/>
    </row>
    <row r="351" customFormat="false" ht="15" hidden="false" customHeight="false" outlineLevel="0" collapsed="false">
      <c r="A351" s="65"/>
      <c r="B351" s="51"/>
      <c r="C351" s="51"/>
      <c r="D351" s="72"/>
      <c r="E351" s="51"/>
      <c r="F351" s="35" t="str">
        <f aca="false">IF(OR(B351="",E351&lt;&gt;"Yes"),"",IFERROR(INDEX(Clients!$F$6:$F$25,MATCH(B351,Clients!$B$6:$B$25,0)),""))</f>
        <v/>
      </c>
      <c r="G351" s="73" t="str">
        <f aca="false">IF(AND(ISNUMBER(D351),ISNUMBER(F351)),D351*F351,"")</f>
        <v/>
      </c>
      <c r="H351" s="51"/>
      <c r="I351" s="51"/>
    </row>
    <row r="352" customFormat="false" ht="15" hidden="false" customHeight="false" outlineLevel="0" collapsed="false">
      <c r="A352" s="65"/>
      <c r="B352" s="51"/>
      <c r="C352" s="51"/>
      <c r="D352" s="72"/>
      <c r="E352" s="51"/>
      <c r="F352" s="35" t="str">
        <f aca="false">IF(OR(B352="",E352&lt;&gt;"Yes"),"",IFERROR(INDEX(Clients!$F$6:$F$25,MATCH(B352,Clients!$B$6:$B$25,0)),""))</f>
        <v/>
      </c>
      <c r="G352" s="73" t="str">
        <f aca="false">IF(AND(ISNUMBER(D352),ISNUMBER(F352)),D352*F352,"")</f>
        <v/>
      </c>
      <c r="H352" s="51"/>
      <c r="I352" s="51"/>
    </row>
    <row r="353" customFormat="false" ht="15" hidden="false" customHeight="false" outlineLevel="0" collapsed="false">
      <c r="A353" s="65"/>
      <c r="B353" s="51"/>
      <c r="C353" s="51"/>
      <c r="D353" s="72"/>
      <c r="E353" s="51"/>
      <c r="F353" s="35" t="str">
        <f aca="false">IF(OR(B353="",E353&lt;&gt;"Yes"),"",IFERROR(INDEX(Clients!$F$6:$F$25,MATCH(B353,Clients!$B$6:$B$25,0)),""))</f>
        <v/>
      </c>
      <c r="G353" s="73" t="str">
        <f aca="false">IF(AND(ISNUMBER(D353),ISNUMBER(F353)),D353*F353,"")</f>
        <v/>
      </c>
      <c r="H353" s="51"/>
      <c r="I353" s="51"/>
    </row>
    <row r="354" customFormat="false" ht="15" hidden="false" customHeight="false" outlineLevel="0" collapsed="false">
      <c r="A354" s="65"/>
      <c r="B354" s="51"/>
      <c r="C354" s="51"/>
      <c r="D354" s="72"/>
      <c r="E354" s="51"/>
      <c r="F354" s="35" t="str">
        <f aca="false">IF(OR(B354="",E354&lt;&gt;"Yes"),"",IFERROR(INDEX(Clients!$F$6:$F$25,MATCH(B354,Clients!$B$6:$B$25,0)),""))</f>
        <v/>
      </c>
      <c r="G354" s="73" t="str">
        <f aca="false">IF(AND(ISNUMBER(D354),ISNUMBER(F354)),D354*F354,"")</f>
        <v/>
      </c>
      <c r="H354" s="51"/>
      <c r="I354" s="51"/>
    </row>
    <row r="355" customFormat="false" ht="15" hidden="false" customHeight="false" outlineLevel="0" collapsed="false">
      <c r="A355" s="65"/>
      <c r="B355" s="51"/>
      <c r="C355" s="51"/>
      <c r="D355" s="72"/>
      <c r="E355" s="51"/>
      <c r="F355" s="35" t="str">
        <f aca="false">IF(OR(B355="",E355&lt;&gt;"Yes"),"",IFERROR(INDEX(Clients!$F$6:$F$25,MATCH(B355,Clients!$B$6:$B$25,0)),""))</f>
        <v/>
      </c>
      <c r="G355" s="73" t="str">
        <f aca="false">IF(AND(ISNUMBER(D355),ISNUMBER(F355)),D355*F355,"")</f>
        <v/>
      </c>
      <c r="H355" s="51"/>
      <c r="I355" s="51"/>
    </row>
    <row r="356" customFormat="false" ht="15" hidden="false" customHeight="false" outlineLevel="0" collapsed="false">
      <c r="A356" s="65"/>
      <c r="B356" s="51"/>
      <c r="C356" s="51"/>
      <c r="D356" s="72"/>
      <c r="E356" s="51"/>
      <c r="F356" s="35" t="str">
        <f aca="false">IF(OR(B356="",E356&lt;&gt;"Yes"),"",IFERROR(INDEX(Clients!$F$6:$F$25,MATCH(B356,Clients!$B$6:$B$25,0)),""))</f>
        <v/>
      </c>
      <c r="G356" s="73" t="str">
        <f aca="false">IF(AND(ISNUMBER(D356),ISNUMBER(F356)),D356*F356,"")</f>
        <v/>
      </c>
      <c r="H356" s="51"/>
      <c r="I356" s="51"/>
    </row>
    <row r="357" customFormat="false" ht="15" hidden="false" customHeight="false" outlineLevel="0" collapsed="false">
      <c r="A357" s="65"/>
      <c r="B357" s="51"/>
      <c r="C357" s="51"/>
      <c r="D357" s="72"/>
      <c r="E357" s="51"/>
      <c r="F357" s="35" t="str">
        <f aca="false">IF(OR(B357="",E357&lt;&gt;"Yes"),"",IFERROR(INDEX(Clients!$F$6:$F$25,MATCH(B357,Clients!$B$6:$B$25,0)),""))</f>
        <v/>
      </c>
      <c r="G357" s="73" t="str">
        <f aca="false">IF(AND(ISNUMBER(D357),ISNUMBER(F357)),D357*F357,"")</f>
        <v/>
      </c>
      <c r="H357" s="51"/>
      <c r="I357" s="51"/>
    </row>
    <row r="358" customFormat="false" ht="15" hidden="false" customHeight="false" outlineLevel="0" collapsed="false">
      <c r="A358" s="65"/>
      <c r="B358" s="51"/>
      <c r="C358" s="51"/>
      <c r="D358" s="72"/>
      <c r="E358" s="51"/>
      <c r="F358" s="35" t="str">
        <f aca="false">IF(OR(B358="",E358&lt;&gt;"Yes"),"",IFERROR(INDEX(Clients!$F$6:$F$25,MATCH(B358,Clients!$B$6:$B$25,0)),""))</f>
        <v/>
      </c>
      <c r="G358" s="73" t="str">
        <f aca="false">IF(AND(ISNUMBER(D358),ISNUMBER(F358)),D358*F358,"")</f>
        <v/>
      </c>
      <c r="H358" s="51"/>
      <c r="I358" s="51"/>
    </row>
    <row r="359" customFormat="false" ht="15" hidden="false" customHeight="false" outlineLevel="0" collapsed="false">
      <c r="A359" s="65"/>
      <c r="B359" s="51"/>
      <c r="C359" s="51"/>
      <c r="D359" s="72"/>
      <c r="E359" s="51"/>
      <c r="F359" s="35" t="str">
        <f aca="false">IF(OR(B359="",E359&lt;&gt;"Yes"),"",IFERROR(INDEX(Clients!$F$6:$F$25,MATCH(B359,Clients!$B$6:$B$25,0)),""))</f>
        <v/>
      </c>
      <c r="G359" s="73" t="str">
        <f aca="false">IF(AND(ISNUMBER(D359),ISNUMBER(F359)),D359*F359,"")</f>
        <v/>
      </c>
      <c r="H359" s="51"/>
      <c r="I359" s="51"/>
    </row>
    <row r="360" customFormat="false" ht="15" hidden="false" customHeight="false" outlineLevel="0" collapsed="false">
      <c r="A360" s="65"/>
      <c r="B360" s="51"/>
      <c r="C360" s="51"/>
      <c r="D360" s="72"/>
      <c r="E360" s="51"/>
      <c r="F360" s="35" t="str">
        <f aca="false">IF(OR(B360="",E360&lt;&gt;"Yes"),"",IFERROR(INDEX(Clients!$F$6:$F$25,MATCH(B360,Clients!$B$6:$B$25,0)),""))</f>
        <v/>
      </c>
      <c r="G360" s="73" t="str">
        <f aca="false">IF(AND(ISNUMBER(D360),ISNUMBER(F360)),D360*F360,"")</f>
        <v/>
      </c>
      <c r="H360" s="51"/>
      <c r="I360" s="51"/>
    </row>
    <row r="361" customFormat="false" ht="15" hidden="false" customHeight="false" outlineLevel="0" collapsed="false">
      <c r="A361" s="65"/>
      <c r="B361" s="51"/>
      <c r="C361" s="51"/>
      <c r="D361" s="72"/>
      <c r="E361" s="51"/>
      <c r="F361" s="35" t="str">
        <f aca="false">IF(OR(B361="",E361&lt;&gt;"Yes"),"",IFERROR(INDEX(Clients!$F$6:$F$25,MATCH(B361,Clients!$B$6:$B$25,0)),""))</f>
        <v/>
      </c>
      <c r="G361" s="73" t="str">
        <f aca="false">IF(AND(ISNUMBER(D361),ISNUMBER(F361)),D361*F361,"")</f>
        <v/>
      </c>
      <c r="H361" s="51"/>
      <c r="I361" s="51"/>
    </row>
    <row r="362" customFormat="false" ht="15" hidden="false" customHeight="false" outlineLevel="0" collapsed="false">
      <c r="A362" s="65"/>
      <c r="B362" s="51"/>
      <c r="C362" s="51"/>
      <c r="D362" s="72"/>
      <c r="E362" s="51"/>
      <c r="F362" s="35" t="str">
        <f aca="false">IF(OR(B362="",E362&lt;&gt;"Yes"),"",IFERROR(INDEX(Clients!$F$6:$F$25,MATCH(B362,Clients!$B$6:$B$25,0)),""))</f>
        <v/>
      </c>
      <c r="G362" s="73" t="str">
        <f aca="false">IF(AND(ISNUMBER(D362),ISNUMBER(F362)),D362*F362,"")</f>
        <v/>
      </c>
      <c r="H362" s="51"/>
      <c r="I362" s="51"/>
    </row>
    <row r="363" customFormat="false" ht="15" hidden="false" customHeight="false" outlineLevel="0" collapsed="false">
      <c r="A363" s="65"/>
      <c r="B363" s="51"/>
      <c r="C363" s="51"/>
      <c r="D363" s="72"/>
      <c r="E363" s="51"/>
      <c r="F363" s="35" t="str">
        <f aca="false">IF(OR(B363="",E363&lt;&gt;"Yes"),"",IFERROR(INDEX(Clients!$F$6:$F$25,MATCH(B363,Clients!$B$6:$B$25,0)),""))</f>
        <v/>
      </c>
      <c r="G363" s="73" t="str">
        <f aca="false">IF(AND(ISNUMBER(D363),ISNUMBER(F363)),D363*F363,"")</f>
        <v/>
      </c>
      <c r="H363" s="51"/>
      <c r="I363" s="51"/>
    </row>
    <row r="364" customFormat="false" ht="15" hidden="false" customHeight="false" outlineLevel="0" collapsed="false">
      <c r="A364" s="65"/>
      <c r="B364" s="51"/>
      <c r="C364" s="51"/>
      <c r="D364" s="72"/>
      <c r="E364" s="51"/>
      <c r="F364" s="35" t="str">
        <f aca="false">IF(OR(B364="",E364&lt;&gt;"Yes"),"",IFERROR(INDEX(Clients!$F$6:$F$25,MATCH(B364,Clients!$B$6:$B$25,0)),""))</f>
        <v/>
      </c>
      <c r="G364" s="73" t="str">
        <f aca="false">IF(AND(ISNUMBER(D364),ISNUMBER(F364)),D364*F364,"")</f>
        <v/>
      </c>
      <c r="H364" s="51"/>
      <c r="I364" s="51"/>
    </row>
    <row r="365" customFormat="false" ht="15" hidden="false" customHeight="false" outlineLevel="0" collapsed="false">
      <c r="A365" s="65"/>
      <c r="B365" s="51"/>
      <c r="C365" s="51"/>
      <c r="D365" s="72"/>
      <c r="E365" s="51"/>
      <c r="F365" s="35" t="str">
        <f aca="false">IF(OR(B365="",E365&lt;&gt;"Yes"),"",IFERROR(INDEX(Clients!$F$6:$F$25,MATCH(B365,Clients!$B$6:$B$25,0)),""))</f>
        <v/>
      </c>
      <c r="G365" s="73" t="str">
        <f aca="false">IF(AND(ISNUMBER(D365),ISNUMBER(F365)),D365*F365,"")</f>
        <v/>
      </c>
      <c r="H365" s="51"/>
      <c r="I365" s="51"/>
    </row>
    <row r="366" customFormat="false" ht="15" hidden="false" customHeight="false" outlineLevel="0" collapsed="false">
      <c r="A366" s="65"/>
      <c r="B366" s="51"/>
      <c r="C366" s="51"/>
      <c r="D366" s="72"/>
      <c r="E366" s="51"/>
      <c r="F366" s="35" t="str">
        <f aca="false">IF(OR(B366="",E366&lt;&gt;"Yes"),"",IFERROR(INDEX(Clients!$F$6:$F$25,MATCH(B366,Clients!$B$6:$B$25,0)),""))</f>
        <v/>
      </c>
      <c r="G366" s="73" t="str">
        <f aca="false">IF(AND(ISNUMBER(D366),ISNUMBER(F366)),D366*F366,"")</f>
        <v/>
      </c>
      <c r="H366" s="51"/>
      <c r="I366" s="51"/>
    </row>
    <row r="367" customFormat="false" ht="15" hidden="false" customHeight="false" outlineLevel="0" collapsed="false">
      <c r="A367" s="65"/>
      <c r="B367" s="51"/>
      <c r="C367" s="51"/>
      <c r="D367" s="72"/>
      <c r="E367" s="51"/>
      <c r="F367" s="35" t="str">
        <f aca="false">IF(OR(B367="",E367&lt;&gt;"Yes"),"",IFERROR(INDEX(Clients!$F$6:$F$25,MATCH(B367,Clients!$B$6:$B$25,0)),""))</f>
        <v/>
      </c>
      <c r="G367" s="73" t="str">
        <f aca="false">IF(AND(ISNUMBER(D367),ISNUMBER(F367)),D367*F367,"")</f>
        <v/>
      </c>
      <c r="H367" s="51"/>
      <c r="I367" s="51"/>
    </row>
    <row r="368" customFormat="false" ht="15" hidden="false" customHeight="false" outlineLevel="0" collapsed="false">
      <c r="A368" s="65"/>
      <c r="B368" s="51"/>
      <c r="C368" s="51"/>
      <c r="D368" s="72"/>
      <c r="E368" s="51"/>
      <c r="F368" s="35" t="str">
        <f aca="false">IF(OR(B368="",E368&lt;&gt;"Yes"),"",IFERROR(INDEX(Clients!$F$6:$F$25,MATCH(B368,Clients!$B$6:$B$25,0)),""))</f>
        <v/>
      </c>
      <c r="G368" s="73" t="str">
        <f aca="false">IF(AND(ISNUMBER(D368),ISNUMBER(F368)),D368*F368,"")</f>
        <v/>
      </c>
      <c r="H368" s="51"/>
      <c r="I368" s="51"/>
    </row>
    <row r="369" customFormat="false" ht="15" hidden="false" customHeight="false" outlineLevel="0" collapsed="false">
      <c r="A369" s="65"/>
      <c r="B369" s="51"/>
      <c r="C369" s="51"/>
      <c r="D369" s="72"/>
      <c r="E369" s="51"/>
      <c r="F369" s="35" t="str">
        <f aca="false">IF(OR(B369="",E369&lt;&gt;"Yes"),"",IFERROR(INDEX(Clients!$F$6:$F$25,MATCH(B369,Clients!$B$6:$B$25,0)),""))</f>
        <v/>
      </c>
      <c r="G369" s="73" t="str">
        <f aca="false">IF(AND(ISNUMBER(D369),ISNUMBER(F369)),D369*F369,"")</f>
        <v/>
      </c>
      <c r="H369" s="51"/>
      <c r="I369" s="51"/>
    </row>
    <row r="370" customFormat="false" ht="15" hidden="false" customHeight="false" outlineLevel="0" collapsed="false">
      <c r="A370" s="65"/>
      <c r="B370" s="51"/>
      <c r="C370" s="51"/>
      <c r="D370" s="72"/>
      <c r="E370" s="51"/>
      <c r="F370" s="35" t="str">
        <f aca="false">IF(OR(B370="",E370&lt;&gt;"Yes"),"",IFERROR(INDEX(Clients!$F$6:$F$25,MATCH(B370,Clients!$B$6:$B$25,0)),""))</f>
        <v/>
      </c>
      <c r="G370" s="73" t="str">
        <f aca="false">IF(AND(ISNUMBER(D370),ISNUMBER(F370)),D370*F370,"")</f>
        <v/>
      </c>
      <c r="H370" s="51"/>
      <c r="I370" s="51"/>
    </row>
    <row r="371" customFormat="false" ht="15" hidden="false" customHeight="false" outlineLevel="0" collapsed="false">
      <c r="A371" s="65"/>
      <c r="B371" s="51"/>
      <c r="C371" s="51"/>
      <c r="D371" s="72"/>
      <c r="E371" s="51"/>
      <c r="F371" s="35" t="str">
        <f aca="false">IF(OR(B371="",E371&lt;&gt;"Yes"),"",IFERROR(INDEX(Clients!$F$6:$F$25,MATCH(B371,Clients!$B$6:$B$25,0)),""))</f>
        <v/>
      </c>
      <c r="G371" s="73" t="str">
        <f aca="false">IF(AND(ISNUMBER(D371),ISNUMBER(F371)),D371*F371,"")</f>
        <v/>
      </c>
      <c r="H371" s="51"/>
      <c r="I371" s="51"/>
    </row>
    <row r="372" customFormat="false" ht="15" hidden="false" customHeight="false" outlineLevel="0" collapsed="false">
      <c r="A372" s="65"/>
      <c r="B372" s="51"/>
      <c r="C372" s="51"/>
      <c r="D372" s="72"/>
      <c r="E372" s="51"/>
      <c r="F372" s="35" t="str">
        <f aca="false">IF(OR(B372="",E372&lt;&gt;"Yes"),"",IFERROR(INDEX(Clients!$F$6:$F$25,MATCH(B372,Clients!$B$6:$B$25,0)),""))</f>
        <v/>
      </c>
      <c r="G372" s="73" t="str">
        <f aca="false">IF(AND(ISNUMBER(D372),ISNUMBER(F372)),D372*F372,"")</f>
        <v/>
      </c>
      <c r="H372" s="51"/>
      <c r="I372" s="51"/>
    </row>
    <row r="373" customFormat="false" ht="15" hidden="false" customHeight="false" outlineLevel="0" collapsed="false">
      <c r="A373" s="65"/>
      <c r="B373" s="51"/>
      <c r="C373" s="51"/>
      <c r="D373" s="72"/>
      <c r="E373" s="51"/>
      <c r="F373" s="35" t="str">
        <f aca="false">IF(OR(B373="",E373&lt;&gt;"Yes"),"",IFERROR(INDEX(Clients!$F$6:$F$25,MATCH(B373,Clients!$B$6:$B$25,0)),""))</f>
        <v/>
      </c>
      <c r="G373" s="73" t="str">
        <f aca="false">IF(AND(ISNUMBER(D373),ISNUMBER(F373)),D373*F373,"")</f>
        <v/>
      </c>
      <c r="H373" s="51"/>
      <c r="I373" s="51"/>
    </row>
    <row r="374" customFormat="false" ht="15" hidden="false" customHeight="false" outlineLevel="0" collapsed="false">
      <c r="A374" s="65"/>
      <c r="B374" s="51"/>
      <c r="C374" s="51"/>
      <c r="D374" s="72"/>
      <c r="E374" s="51"/>
      <c r="F374" s="35" t="str">
        <f aca="false">IF(OR(B374="",E374&lt;&gt;"Yes"),"",IFERROR(INDEX(Clients!$F$6:$F$25,MATCH(B374,Clients!$B$6:$B$25,0)),""))</f>
        <v/>
      </c>
      <c r="G374" s="73" t="str">
        <f aca="false">IF(AND(ISNUMBER(D374),ISNUMBER(F374)),D374*F374,"")</f>
        <v/>
      </c>
      <c r="H374" s="51"/>
      <c r="I374" s="51"/>
    </row>
    <row r="375" customFormat="false" ht="15" hidden="false" customHeight="false" outlineLevel="0" collapsed="false">
      <c r="A375" s="65"/>
      <c r="B375" s="51"/>
      <c r="C375" s="51"/>
      <c r="D375" s="72"/>
      <c r="E375" s="51"/>
      <c r="F375" s="35" t="str">
        <f aca="false">IF(OR(B375="",E375&lt;&gt;"Yes"),"",IFERROR(INDEX(Clients!$F$6:$F$25,MATCH(B375,Clients!$B$6:$B$25,0)),""))</f>
        <v/>
      </c>
      <c r="G375" s="73" t="str">
        <f aca="false">IF(AND(ISNUMBER(D375),ISNUMBER(F375)),D375*F375,"")</f>
        <v/>
      </c>
      <c r="H375" s="51"/>
      <c r="I375" s="51"/>
    </row>
    <row r="376" customFormat="false" ht="15" hidden="false" customHeight="false" outlineLevel="0" collapsed="false">
      <c r="A376" s="65"/>
      <c r="B376" s="51"/>
      <c r="C376" s="51"/>
      <c r="D376" s="72"/>
      <c r="E376" s="51"/>
      <c r="F376" s="35" t="str">
        <f aca="false">IF(OR(B376="",E376&lt;&gt;"Yes"),"",IFERROR(INDEX(Clients!$F$6:$F$25,MATCH(B376,Clients!$B$6:$B$25,0)),""))</f>
        <v/>
      </c>
      <c r="G376" s="73" t="str">
        <f aca="false">IF(AND(ISNUMBER(D376),ISNUMBER(F376)),D376*F376,"")</f>
        <v/>
      </c>
      <c r="H376" s="51"/>
      <c r="I376" s="51"/>
    </row>
    <row r="377" customFormat="false" ht="15" hidden="false" customHeight="false" outlineLevel="0" collapsed="false">
      <c r="A377" s="65"/>
      <c r="B377" s="51"/>
      <c r="C377" s="51"/>
      <c r="D377" s="72"/>
      <c r="E377" s="51"/>
      <c r="F377" s="35" t="str">
        <f aca="false">IF(OR(B377="",E377&lt;&gt;"Yes"),"",IFERROR(INDEX(Clients!$F$6:$F$25,MATCH(B377,Clients!$B$6:$B$25,0)),""))</f>
        <v/>
      </c>
      <c r="G377" s="73" t="str">
        <f aca="false">IF(AND(ISNUMBER(D377),ISNUMBER(F377)),D377*F377,"")</f>
        <v/>
      </c>
      <c r="H377" s="51"/>
      <c r="I377" s="51"/>
    </row>
    <row r="378" customFormat="false" ht="15" hidden="false" customHeight="false" outlineLevel="0" collapsed="false">
      <c r="A378" s="65"/>
      <c r="B378" s="51"/>
      <c r="C378" s="51"/>
      <c r="D378" s="72"/>
      <c r="E378" s="51"/>
      <c r="F378" s="35" t="str">
        <f aca="false">IF(OR(B378="",E378&lt;&gt;"Yes"),"",IFERROR(INDEX(Clients!$F$6:$F$25,MATCH(B378,Clients!$B$6:$B$25,0)),""))</f>
        <v/>
      </c>
      <c r="G378" s="73" t="str">
        <f aca="false">IF(AND(ISNUMBER(D378),ISNUMBER(F378)),D378*F378,"")</f>
        <v/>
      </c>
      <c r="H378" s="51"/>
      <c r="I378" s="51"/>
    </row>
    <row r="379" customFormat="false" ht="15" hidden="false" customHeight="false" outlineLevel="0" collapsed="false">
      <c r="A379" s="65"/>
      <c r="B379" s="51"/>
      <c r="C379" s="51"/>
      <c r="D379" s="72"/>
      <c r="E379" s="51"/>
      <c r="F379" s="35" t="str">
        <f aca="false">IF(OR(B379="",E379&lt;&gt;"Yes"),"",IFERROR(INDEX(Clients!$F$6:$F$25,MATCH(B379,Clients!$B$6:$B$25,0)),""))</f>
        <v/>
      </c>
      <c r="G379" s="73" t="str">
        <f aca="false">IF(AND(ISNUMBER(D379),ISNUMBER(F379)),D379*F379,"")</f>
        <v/>
      </c>
      <c r="H379" s="51"/>
      <c r="I379" s="51"/>
    </row>
    <row r="380" customFormat="false" ht="15" hidden="false" customHeight="false" outlineLevel="0" collapsed="false">
      <c r="A380" s="65"/>
      <c r="B380" s="51"/>
      <c r="C380" s="51"/>
      <c r="D380" s="72"/>
      <c r="E380" s="51"/>
      <c r="F380" s="35" t="str">
        <f aca="false">IF(OR(B380="",E380&lt;&gt;"Yes"),"",IFERROR(INDEX(Clients!$F$6:$F$25,MATCH(B380,Clients!$B$6:$B$25,0)),""))</f>
        <v/>
      </c>
      <c r="G380" s="73" t="str">
        <f aca="false">IF(AND(ISNUMBER(D380),ISNUMBER(F380)),D380*F380,"")</f>
        <v/>
      </c>
      <c r="H380" s="51"/>
      <c r="I380" s="51"/>
    </row>
    <row r="381" customFormat="false" ht="15" hidden="false" customHeight="false" outlineLevel="0" collapsed="false">
      <c r="A381" s="65"/>
      <c r="B381" s="51"/>
      <c r="C381" s="51"/>
      <c r="D381" s="72"/>
      <c r="E381" s="51"/>
      <c r="F381" s="35" t="str">
        <f aca="false">IF(OR(B381="",E381&lt;&gt;"Yes"),"",IFERROR(INDEX(Clients!$F$6:$F$25,MATCH(B381,Clients!$B$6:$B$25,0)),""))</f>
        <v/>
      </c>
      <c r="G381" s="73" t="str">
        <f aca="false">IF(AND(ISNUMBER(D381),ISNUMBER(F381)),D381*F381,"")</f>
        <v/>
      </c>
      <c r="H381" s="51"/>
      <c r="I381" s="51"/>
    </row>
    <row r="382" customFormat="false" ht="15" hidden="false" customHeight="false" outlineLevel="0" collapsed="false">
      <c r="A382" s="65"/>
      <c r="B382" s="51"/>
      <c r="C382" s="51"/>
      <c r="D382" s="72"/>
      <c r="E382" s="51"/>
      <c r="F382" s="35" t="str">
        <f aca="false">IF(OR(B382="",E382&lt;&gt;"Yes"),"",IFERROR(INDEX(Clients!$F$6:$F$25,MATCH(B382,Clients!$B$6:$B$25,0)),""))</f>
        <v/>
      </c>
      <c r="G382" s="73" t="str">
        <f aca="false">IF(AND(ISNUMBER(D382),ISNUMBER(F382)),D382*F382,"")</f>
        <v/>
      </c>
      <c r="H382" s="51"/>
      <c r="I382" s="51"/>
    </row>
    <row r="383" customFormat="false" ht="15" hidden="false" customHeight="false" outlineLevel="0" collapsed="false">
      <c r="A383" s="65"/>
      <c r="B383" s="51"/>
      <c r="C383" s="51"/>
      <c r="D383" s="72"/>
      <c r="E383" s="51"/>
      <c r="F383" s="35" t="str">
        <f aca="false">IF(OR(B383="",E383&lt;&gt;"Yes"),"",IFERROR(INDEX(Clients!$F$6:$F$25,MATCH(B383,Clients!$B$6:$B$25,0)),""))</f>
        <v/>
      </c>
      <c r="G383" s="73" t="str">
        <f aca="false">IF(AND(ISNUMBER(D383),ISNUMBER(F383)),D383*F383,"")</f>
        <v/>
      </c>
      <c r="H383" s="51"/>
      <c r="I383" s="51"/>
    </row>
    <row r="384" customFormat="false" ht="15" hidden="false" customHeight="false" outlineLevel="0" collapsed="false">
      <c r="A384" s="65"/>
      <c r="B384" s="51"/>
      <c r="C384" s="51"/>
      <c r="D384" s="72"/>
      <c r="E384" s="51"/>
      <c r="F384" s="35" t="str">
        <f aca="false">IF(OR(B384="",E384&lt;&gt;"Yes"),"",IFERROR(INDEX(Clients!$F$6:$F$25,MATCH(B384,Clients!$B$6:$B$25,0)),""))</f>
        <v/>
      </c>
      <c r="G384" s="73" t="str">
        <f aca="false">IF(AND(ISNUMBER(D384),ISNUMBER(F384)),D384*F384,"")</f>
        <v/>
      </c>
      <c r="H384" s="51"/>
      <c r="I384" s="51"/>
    </row>
    <row r="385" customFormat="false" ht="15" hidden="false" customHeight="false" outlineLevel="0" collapsed="false">
      <c r="A385" s="65"/>
      <c r="B385" s="51"/>
      <c r="C385" s="51"/>
      <c r="D385" s="72"/>
      <c r="E385" s="51"/>
      <c r="F385" s="35" t="str">
        <f aca="false">IF(OR(B385="",E385&lt;&gt;"Yes"),"",IFERROR(INDEX(Clients!$F$6:$F$25,MATCH(B385,Clients!$B$6:$B$25,0)),""))</f>
        <v/>
      </c>
      <c r="G385" s="73" t="str">
        <f aca="false">IF(AND(ISNUMBER(D385),ISNUMBER(F385)),D385*F385,"")</f>
        <v/>
      </c>
      <c r="H385" s="51"/>
      <c r="I385" s="51"/>
    </row>
    <row r="386" customFormat="false" ht="15" hidden="false" customHeight="false" outlineLevel="0" collapsed="false">
      <c r="A386" s="65"/>
      <c r="B386" s="51"/>
      <c r="C386" s="51"/>
      <c r="D386" s="72"/>
      <c r="E386" s="51"/>
      <c r="F386" s="35" t="str">
        <f aca="false">IF(OR(B386="",E386&lt;&gt;"Yes"),"",IFERROR(INDEX(Clients!$F$6:$F$25,MATCH(B386,Clients!$B$6:$B$25,0)),""))</f>
        <v/>
      </c>
      <c r="G386" s="73" t="str">
        <f aca="false">IF(AND(ISNUMBER(D386),ISNUMBER(F386)),D386*F386,"")</f>
        <v/>
      </c>
      <c r="H386" s="51"/>
      <c r="I386" s="51"/>
    </row>
    <row r="387" customFormat="false" ht="15" hidden="false" customHeight="false" outlineLevel="0" collapsed="false">
      <c r="A387" s="65"/>
      <c r="B387" s="51"/>
      <c r="C387" s="51"/>
      <c r="D387" s="72"/>
      <c r="E387" s="51"/>
      <c r="F387" s="35" t="str">
        <f aca="false">IF(OR(B387="",E387&lt;&gt;"Yes"),"",IFERROR(INDEX(Clients!$F$6:$F$25,MATCH(B387,Clients!$B$6:$B$25,0)),""))</f>
        <v/>
      </c>
      <c r="G387" s="73" t="str">
        <f aca="false">IF(AND(ISNUMBER(D387),ISNUMBER(F387)),D387*F387,"")</f>
        <v/>
      </c>
      <c r="H387" s="51"/>
      <c r="I387" s="51"/>
    </row>
    <row r="388" customFormat="false" ht="15" hidden="false" customHeight="false" outlineLevel="0" collapsed="false">
      <c r="A388" s="65"/>
      <c r="B388" s="51"/>
      <c r="C388" s="51"/>
      <c r="D388" s="72"/>
      <c r="E388" s="51"/>
      <c r="F388" s="35" t="str">
        <f aca="false">IF(OR(B388="",E388&lt;&gt;"Yes"),"",IFERROR(INDEX(Clients!$F$6:$F$25,MATCH(B388,Clients!$B$6:$B$25,0)),""))</f>
        <v/>
      </c>
      <c r="G388" s="73" t="str">
        <f aca="false">IF(AND(ISNUMBER(D388),ISNUMBER(F388)),D388*F388,"")</f>
        <v/>
      </c>
      <c r="H388" s="51"/>
      <c r="I388" s="51"/>
    </row>
    <row r="389" customFormat="false" ht="15" hidden="false" customHeight="false" outlineLevel="0" collapsed="false">
      <c r="A389" s="65"/>
      <c r="B389" s="51"/>
      <c r="C389" s="51"/>
      <c r="D389" s="72"/>
      <c r="E389" s="51"/>
      <c r="F389" s="35" t="str">
        <f aca="false">IF(OR(B389="",E389&lt;&gt;"Yes"),"",IFERROR(INDEX(Clients!$F$6:$F$25,MATCH(B389,Clients!$B$6:$B$25,0)),""))</f>
        <v/>
      </c>
      <c r="G389" s="73" t="str">
        <f aca="false">IF(AND(ISNUMBER(D389),ISNUMBER(F389)),D389*F389,"")</f>
        <v/>
      </c>
      <c r="H389" s="51"/>
      <c r="I389" s="51"/>
    </row>
    <row r="390" customFormat="false" ht="15" hidden="false" customHeight="false" outlineLevel="0" collapsed="false">
      <c r="A390" s="65"/>
      <c r="B390" s="51"/>
      <c r="C390" s="51"/>
      <c r="D390" s="72"/>
      <c r="E390" s="51"/>
      <c r="F390" s="35" t="str">
        <f aca="false">IF(OR(B390="",E390&lt;&gt;"Yes"),"",IFERROR(INDEX(Clients!$F$6:$F$25,MATCH(B390,Clients!$B$6:$B$25,0)),""))</f>
        <v/>
      </c>
      <c r="G390" s="73" t="str">
        <f aca="false">IF(AND(ISNUMBER(D390),ISNUMBER(F390)),D390*F390,"")</f>
        <v/>
      </c>
      <c r="H390" s="51"/>
      <c r="I390" s="51"/>
    </row>
    <row r="391" customFormat="false" ht="15" hidden="false" customHeight="false" outlineLevel="0" collapsed="false">
      <c r="A391" s="65"/>
      <c r="B391" s="51"/>
      <c r="C391" s="51"/>
      <c r="D391" s="72"/>
      <c r="E391" s="51"/>
      <c r="F391" s="35" t="str">
        <f aca="false">IF(OR(B391="",E391&lt;&gt;"Yes"),"",IFERROR(INDEX(Clients!$F$6:$F$25,MATCH(B391,Clients!$B$6:$B$25,0)),""))</f>
        <v/>
      </c>
      <c r="G391" s="73" t="str">
        <f aca="false">IF(AND(ISNUMBER(D391),ISNUMBER(F391)),D391*F391,"")</f>
        <v/>
      </c>
      <c r="H391" s="51"/>
      <c r="I391" s="51"/>
    </row>
    <row r="392" customFormat="false" ht="15" hidden="false" customHeight="false" outlineLevel="0" collapsed="false">
      <c r="A392" s="65"/>
      <c r="B392" s="51"/>
      <c r="C392" s="51"/>
      <c r="D392" s="72"/>
      <c r="E392" s="51"/>
      <c r="F392" s="35" t="str">
        <f aca="false">IF(OR(B392="",E392&lt;&gt;"Yes"),"",IFERROR(INDEX(Clients!$F$6:$F$25,MATCH(B392,Clients!$B$6:$B$25,0)),""))</f>
        <v/>
      </c>
      <c r="G392" s="73" t="str">
        <f aca="false">IF(AND(ISNUMBER(D392),ISNUMBER(F392)),D392*F392,"")</f>
        <v/>
      </c>
      <c r="H392" s="51"/>
      <c r="I392" s="51"/>
    </row>
    <row r="393" customFormat="false" ht="15" hidden="false" customHeight="false" outlineLevel="0" collapsed="false">
      <c r="A393" s="65"/>
      <c r="B393" s="51"/>
      <c r="C393" s="51"/>
      <c r="D393" s="72"/>
      <c r="E393" s="51"/>
      <c r="F393" s="35" t="str">
        <f aca="false">IF(OR(B393="",E393&lt;&gt;"Yes"),"",IFERROR(INDEX(Clients!$F$6:$F$25,MATCH(B393,Clients!$B$6:$B$25,0)),""))</f>
        <v/>
      </c>
      <c r="G393" s="73" t="str">
        <f aca="false">IF(AND(ISNUMBER(D393),ISNUMBER(F393)),D393*F393,"")</f>
        <v/>
      </c>
      <c r="H393" s="51"/>
      <c r="I393" s="51"/>
    </row>
    <row r="394" customFormat="false" ht="15" hidden="false" customHeight="false" outlineLevel="0" collapsed="false">
      <c r="A394" s="65"/>
      <c r="B394" s="51"/>
      <c r="C394" s="51"/>
      <c r="D394" s="72"/>
      <c r="E394" s="51"/>
      <c r="F394" s="35" t="str">
        <f aca="false">IF(OR(B394="",E394&lt;&gt;"Yes"),"",IFERROR(INDEX(Clients!$F$6:$F$25,MATCH(B394,Clients!$B$6:$B$25,0)),""))</f>
        <v/>
      </c>
      <c r="G394" s="73" t="str">
        <f aca="false">IF(AND(ISNUMBER(D394),ISNUMBER(F394)),D394*F394,"")</f>
        <v/>
      </c>
      <c r="H394" s="51"/>
      <c r="I394" s="51"/>
    </row>
    <row r="395" customFormat="false" ht="15" hidden="false" customHeight="false" outlineLevel="0" collapsed="false">
      <c r="A395" s="65"/>
      <c r="B395" s="51"/>
      <c r="C395" s="51"/>
      <c r="D395" s="72"/>
      <c r="E395" s="51"/>
      <c r="F395" s="35" t="str">
        <f aca="false">IF(OR(B395="",E395&lt;&gt;"Yes"),"",IFERROR(INDEX(Clients!$F$6:$F$25,MATCH(B395,Clients!$B$6:$B$25,0)),""))</f>
        <v/>
      </c>
      <c r="G395" s="73" t="str">
        <f aca="false">IF(AND(ISNUMBER(D395),ISNUMBER(F395)),D395*F395,"")</f>
        <v/>
      </c>
      <c r="H395" s="51"/>
      <c r="I395" s="51"/>
    </row>
    <row r="396" customFormat="false" ht="15" hidden="false" customHeight="false" outlineLevel="0" collapsed="false">
      <c r="A396" s="65"/>
      <c r="B396" s="51"/>
      <c r="C396" s="51"/>
      <c r="D396" s="72"/>
      <c r="E396" s="51"/>
      <c r="F396" s="35" t="str">
        <f aca="false">IF(OR(B396="",E396&lt;&gt;"Yes"),"",IFERROR(INDEX(Clients!$F$6:$F$25,MATCH(B396,Clients!$B$6:$B$25,0)),""))</f>
        <v/>
      </c>
      <c r="G396" s="73" t="str">
        <f aca="false">IF(AND(ISNUMBER(D396),ISNUMBER(F396)),D396*F396,"")</f>
        <v/>
      </c>
      <c r="H396" s="51"/>
      <c r="I396" s="51"/>
    </row>
    <row r="397" customFormat="false" ht="15" hidden="false" customHeight="false" outlineLevel="0" collapsed="false">
      <c r="A397" s="65"/>
      <c r="B397" s="51"/>
      <c r="C397" s="51"/>
      <c r="D397" s="72"/>
      <c r="E397" s="51"/>
      <c r="F397" s="35" t="str">
        <f aca="false">IF(OR(B397="",E397&lt;&gt;"Yes"),"",IFERROR(INDEX(Clients!$F$6:$F$25,MATCH(B397,Clients!$B$6:$B$25,0)),""))</f>
        <v/>
      </c>
      <c r="G397" s="73" t="str">
        <f aca="false">IF(AND(ISNUMBER(D397),ISNUMBER(F397)),D397*F397,"")</f>
        <v/>
      </c>
      <c r="H397" s="51"/>
      <c r="I397" s="51"/>
    </row>
    <row r="398" customFormat="false" ht="15" hidden="false" customHeight="false" outlineLevel="0" collapsed="false">
      <c r="A398" s="65"/>
      <c r="B398" s="51"/>
      <c r="C398" s="51"/>
      <c r="D398" s="72"/>
      <c r="E398" s="51"/>
      <c r="F398" s="35" t="str">
        <f aca="false">IF(OR(B398="",E398&lt;&gt;"Yes"),"",IFERROR(INDEX(Clients!$F$6:$F$25,MATCH(B398,Clients!$B$6:$B$25,0)),""))</f>
        <v/>
      </c>
      <c r="G398" s="73" t="str">
        <f aca="false">IF(AND(ISNUMBER(D398),ISNUMBER(F398)),D398*F398,"")</f>
        <v/>
      </c>
      <c r="H398" s="51"/>
      <c r="I398" s="51"/>
    </row>
    <row r="399" customFormat="false" ht="15" hidden="false" customHeight="false" outlineLevel="0" collapsed="false">
      <c r="A399" s="65"/>
      <c r="B399" s="51"/>
      <c r="C399" s="51"/>
      <c r="D399" s="72"/>
      <c r="E399" s="51"/>
      <c r="F399" s="35" t="str">
        <f aca="false">IF(OR(B399="",E399&lt;&gt;"Yes"),"",IFERROR(INDEX(Clients!$F$6:$F$25,MATCH(B399,Clients!$B$6:$B$25,0)),""))</f>
        <v/>
      </c>
      <c r="G399" s="73" t="str">
        <f aca="false">IF(AND(ISNUMBER(D399),ISNUMBER(F399)),D399*F399,"")</f>
        <v/>
      </c>
      <c r="H399" s="51"/>
      <c r="I399" s="51"/>
    </row>
    <row r="400" customFormat="false" ht="15" hidden="false" customHeight="false" outlineLevel="0" collapsed="false">
      <c r="A400" s="65"/>
      <c r="B400" s="51"/>
      <c r="C400" s="51"/>
      <c r="D400" s="72"/>
      <c r="E400" s="51"/>
      <c r="F400" s="35" t="str">
        <f aca="false">IF(OR(B400="",E400&lt;&gt;"Yes"),"",IFERROR(INDEX(Clients!$F$6:$F$25,MATCH(B400,Clients!$B$6:$B$25,0)),""))</f>
        <v/>
      </c>
      <c r="G400" s="73" t="str">
        <f aca="false">IF(AND(ISNUMBER(D400),ISNUMBER(F400)),D400*F400,"")</f>
        <v/>
      </c>
      <c r="H400" s="51"/>
      <c r="I400" s="51"/>
    </row>
    <row r="401" customFormat="false" ht="15" hidden="false" customHeight="false" outlineLevel="0" collapsed="false">
      <c r="A401" s="65"/>
      <c r="B401" s="51"/>
      <c r="C401" s="51"/>
      <c r="D401" s="72"/>
      <c r="E401" s="51"/>
      <c r="F401" s="35" t="str">
        <f aca="false">IF(OR(B401="",E401&lt;&gt;"Yes"),"",IFERROR(INDEX(Clients!$F$6:$F$25,MATCH(B401,Clients!$B$6:$B$25,0)),""))</f>
        <v/>
      </c>
      <c r="G401" s="73" t="str">
        <f aca="false">IF(AND(ISNUMBER(D401),ISNUMBER(F401)),D401*F401,"")</f>
        <v/>
      </c>
      <c r="H401" s="51"/>
      <c r="I401" s="51"/>
    </row>
    <row r="402" customFormat="false" ht="15" hidden="false" customHeight="false" outlineLevel="0" collapsed="false">
      <c r="A402" s="65"/>
      <c r="B402" s="51"/>
      <c r="C402" s="51"/>
      <c r="D402" s="72"/>
      <c r="E402" s="51"/>
      <c r="F402" s="35" t="str">
        <f aca="false">IF(OR(B402="",E402&lt;&gt;"Yes"),"",IFERROR(INDEX(Clients!$F$6:$F$25,MATCH(B402,Clients!$B$6:$B$25,0)),""))</f>
        <v/>
      </c>
      <c r="G402" s="73" t="str">
        <f aca="false">IF(AND(ISNUMBER(D402),ISNUMBER(F402)),D402*F402,"")</f>
        <v/>
      </c>
      <c r="H402" s="51"/>
      <c r="I402" s="51"/>
    </row>
    <row r="403" customFormat="false" ht="15" hidden="false" customHeight="false" outlineLevel="0" collapsed="false">
      <c r="A403" s="65"/>
      <c r="B403" s="51"/>
      <c r="C403" s="51"/>
      <c r="D403" s="72"/>
      <c r="E403" s="51"/>
      <c r="F403" s="35" t="str">
        <f aca="false">IF(OR(B403="",E403&lt;&gt;"Yes"),"",IFERROR(INDEX(Clients!$F$6:$F$25,MATCH(B403,Clients!$B$6:$B$25,0)),""))</f>
        <v/>
      </c>
      <c r="G403" s="73" t="str">
        <f aca="false">IF(AND(ISNUMBER(D403),ISNUMBER(F403)),D403*F403,"")</f>
        <v/>
      </c>
      <c r="H403" s="51"/>
      <c r="I403" s="51"/>
    </row>
    <row r="404" customFormat="false" ht="15" hidden="false" customHeight="false" outlineLevel="0" collapsed="false">
      <c r="A404" s="65"/>
      <c r="B404" s="51"/>
      <c r="C404" s="51"/>
      <c r="D404" s="72"/>
      <c r="E404" s="51"/>
      <c r="F404" s="35" t="str">
        <f aca="false">IF(OR(B404="",E404&lt;&gt;"Yes"),"",IFERROR(INDEX(Clients!$F$6:$F$25,MATCH(B404,Clients!$B$6:$B$25,0)),""))</f>
        <v/>
      </c>
      <c r="G404" s="73" t="str">
        <f aca="false">IF(AND(ISNUMBER(D404),ISNUMBER(F404)),D404*F404,"")</f>
        <v/>
      </c>
      <c r="H404" s="51"/>
      <c r="I404" s="51"/>
    </row>
    <row r="405" customFormat="false" ht="15" hidden="false" customHeight="false" outlineLevel="0" collapsed="false">
      <c r="A405" s="65"/>
      <c r="B405" s="51"/>
      <c r="C405" s="51"/>
      <c r="D405" s="72"/>
      <c r="E405" s="51"/>
      <c r="F405" s="35" t="str">
        <f aca="false">IF(OR(B405="",E405&lt;&gt;"Yes"),"",IFERROR(INDEX(Clients!$F$6:$F$25,MATCH(B405,Clients!$B$6:$B$25,0)),""))</f>
        <v/>
      </c>
      <c r="G405" s="73" t="str">
        <f aca="false">IF(AND(ISNUMBER(D405),ISNUMBER(F405)),D405*F405,"")</f>
        <v/>
      </c>
      <c r="H405" s="51"/>
      <c r="I405" s="51"/>
    </row>
    <row r="406" customFormat="false" ht="15" hidden="false" customHeight="false" outlineLevel="0" collapsed="false">
      <c r="A406" s="65"/>
      <c r="B406" s="51"/>
      <c r="C406" s="51"/>
      <c r="D406" s="72"/>
      <c r="E406" s="51"/>
      <c r="F406" s="35" t="str">
        <f aca="false">IF(OR(B406="",E406&lt;&gt;"Yes"),"",IFERROR(INDEX(Clients!$F$6:$F$25,MATCH(B406,Clients!$B$6:$B$25,0)),""))</f>
        <v/>
      </c>
      <c r="G406" s="73" t="str">
        <f aca="false">IF(AND(ISNUMBER(D406),ISNUMBER(F406)),D406*F406,"")</f>
        <v/>
      </c>
      <c r="H406" s="51"/>
      <c r="I406" s="51"/>
    </row>
    <row r="407" customFormat="false" ht="15" hidden="false" customHeight="false" outlineLevel="0" collapsed="false">
      <c r="A407" s="65"/>
      <c r="B407" s="51"/>
      <c r="C407" s="51"/>
      <c r="D407" s="72"/>
      <c r="E407" s="51"/>
      <c r="F407" s="35" t="str">
        <f aca="false">IF(OR(B407="",E407&lt;&gt;"Yes"),"",IFERROR(INDEX(Clients!$F$6:$F$25,MATCH(B407,Clients!$B$6:$B$25,0)),""))</f>
        <v/>
      </c>
      <c r="G407" s="73" t="str">
        <f aca="false">IF(AND(ISNUMBER(D407),ISNUMBER(F407)),D407*F407,"")</f>
        <v/>
      </c>
      <c r="H407" s="51"/>
      <c r="I407" s="51"/>
    </row>
    <row r="408" customFormat="false" ht="15" hidden="false" customHeight="false" outlineLevel="0" collapsed="false">
      <c r="A408" s="65"/>
      <c r="B408" s="51"/>
      <c r="C408" s="51"/>
      <c r="D408" s="72"/>
      <c r="E408" s="51"/>
      <c r="F408" s="35" t="str">
        <f aca="false">IF(OR(B408="",E408&lt;&gt;"Yes"),"",IFERROR(INDEX(Clients!$F$6:$F$25,MATCH(B408,Clients!$B$6:$B$25,0)),""))</f>
        <v/>
      </c>
      <c r="G408" s="73" t="str">
        <f aca="false">IF(AND(ISNUMBER(D408),ISNUMBER(F408)),D408*F408,"")</f>
        <v/>
      </c>
      <c r="H408" s="51"/>
      <c r="I408" s="51"/>
    </row>
    <row r="409" customFormat="false" ht="15" hidden="false" customHeight="false" outlineLevel="0" collapsed="false">
      <c r="A409" s="65"/>
      <c r="B409" s="51"/>
      <c r="C409" s="51"/>
      <c r="D409" s="72"/>
      <c r="E409" s="51"/>
      <c r="F409" s="35" t="str">
        <f aca="false">IF(OR(B409="",E409&lt;&gt;"Yes"),"",IFERROR(INDEX(Clients!$F$6:$F$25,MATCH(B409,Clients!$B$6:$B$25,0)),""))</f>
        <v/>
      </c>
      <c r="G409" s="73" t="str">
        <f aca="false">IF(AND(ISNUMBER(D409),ISNUMBER(F409)),D409*F409,"")</f>
        <v/>
      </c>
      <c r="H409" s="51"/>
      <c r="I409" s="51"/>
    </row>
    <row r="410" customFormat="false" ht="15" hidden="false" customHeight="false" outlineLevel="0" collapsed="false">
      <c r="A410" s="65"/>
      <c r="B410" s="51"/>
      <c r="C410" s="51"/>
      <c r="D410" s="72"/>
      <c r="E410" s="51"/>
      <c r="F410" s="35" t="str">
        <f aca="false">IF(OR(B410="",E410&lt;&gt;"Yes"),"",IFERROR(INDEX(Clients!$F$6:$F$25,MATCH(B410,Clients!$B$6:$B$25,0)),""))</f>
        <v/>
      </c>
      <c r="G410" s="73" t="str">
        <f aca="false">IF(AND(ISNUMBER(D410),ISNUMBER(F410)),D410*F410,"")</f>
        <v/>
      </c>
      <c r="H410" s="51"/>
      <c r="I410" s="51"/>
    </row>
    <row r="411" customFormat="false" ht="15" hidden="false" customHeight="false" outlineLevel="0" collapsed="false">
      <c r="A411" s="65"/>
      <c r="B411" s="51"/>
      <c r="C411" s="51"/>
      <c r="D411" s="72"/>
      <c r="E411" s="51"/>
      <c r="F411" s="35" t="str">
        <f aca="false">IF(OR(B411="",E411&lt;&gt;"Yes"),"",IFERROR(INDEX(Clients!$F$6:$F$25,MATCH(B411,Clients!$B$6:$B$25,0)),""))</f>
        <v/>
      </c>
      <c r="G411" s="73" t="str">
        <f aca="false">IF(AND(ISNUMBER(D411),ISNUMBER(F411)),D411*F411,"")</f>
        <v/>
      </c>
      <c r="H411" s="51"/>
      <c r="I411" s="51"/>
    </row>
    <row r="412" customFormat="false" ht="15" hidden="false" customHeight="false" outlineLevel="0" collapsed="false">
      <c r="A412" s="65"/>
      <c r="B412" s="51"/>
      <c r="C412" s="51"/>
      <c r="D412" s="72"/>
      <c r="E412" s="51"/>
      <c r="F412" s="35" t="str">
        <f aca="false">IF(OR(B412="",E412&lt;&gt;"Yes"),"",IFERROR(INDEX(Clients!$F$6:$F$25,MATCH(B412,Clients!$B$6:$B$25,0)),""))</f>
        <v/>
      </c>
      <c r="G412" s="73" t="str">
        <f aca="false">IF(AND(ISNUMBER(D412),ISNUMBER(F412)),D412*F412,"")</f>
        <v/>
      </c>
      <c r="H412" s="51"/>
      <c r="I412" s="51"/>
    </row>
    <row r="413" customFormat="false" ht="15" hidden="false" customHeight="false" outlineLevel="0" collapsed="false">
      <c r="A413" s="65"/>
      <c r="B413" s="51"/>
      <c r="C413" s="51"/>
      <c r="D413" s="72"/>
      <c r="E413" s="51"/>
      <c r="F413" s="35" t="str">
        <f aca="false">IF(OR(B413="",E413&lt;&gt;"Yes"),"",IFERROR(INDEX(Clients!$F$6:$F$25,MATCH(B413,Clients!$B$6:$B$25,0)),""))</f>
        <v/>
      </c>
      <c r="G413" s="73" t="str">
        <f aca="false">IF(AND(ISNUMBER(D413),ISNUMBER(F413)),D413*F413,"")</f>
        <v/>
      </c>
      <c r="H413" s="51"/>
      <c r="I413" s="51"/>
    </row>
    <row r="414" customFormat="false" ht="15" hidden="false" customHeight="false" outlineLevel="0" collapsed="false">
      <c r="A414" s="65"/>
      <c r="B414" s="51"/>
      <c r="C414" s="51"/>
      <c r="D414" s="72"/>
      <c r="E414" s="51"/>
      <c r="F414" s="35" t="str">
        <f aca="false">IF(OR(B414="",E414&lt;&gt;"Yes"),"",IFERROR(INDEX(Clients!$F$6:$F$25,MATCH(B414,Clients!$B$6:$B$25,0)),""))</f>
        <v/>
      </c>
      <c r="G414" s="73" t="str">
        <f aca="false">IF(AND(ISNUMBER(D414),ISNUMBER(F414)),D414*F414,"")</f>
        <v/>
      </c>
      <c r="H414" s="51"/>
      <c r="I414" s="51"/>
    </row>
    <row r="415" customFormat="false" ht="15" hidden="false" customHeight="false" outlineLevel="0" collapsed="false">
      <c r="A415" s="65"/>
      <c r="B415" s="51"/>
      <c r="C415" s="51"/>
      <c r="D415" s="72"/>
      <c r="E415" s="51"/>
      <c r="F415" s="35" t="str">
        <f aca="false">IF(OR(B415="",E415&lt;&gt;"Yes"),"",IFERROR(INDEX(Clients!$F$6:$F$25,MATCH(B415,Clients!$B$6:$B$25,0)),""))</f>
        <v/>
      </c>
      <c r="G415" s="73" t="str">
        <f aca="false">IF(AND(ISNUMBER(D415),ISNUMBER(F415)),D415*F415,"")</f>
        <v/>
      </c>
      <c r="H415" s="51"/>
      <c r="I415" s="51"/>
    </row>
    <row r="416" customFormat="false" ht="15" hidden="false" customHeight="false" outlineLevel="0" collapsed="false">
      <c r="A416" s="65"/>
      <c r="B416" s="51"/>
      <c r="C416" s="51"/>
      <c r="D416" s="72"/>
      <c r="E416" s="51"/>
      <c r="F416" s="35" t="str">
        <f aca="false">IF(OR(B416="",E416&lt;&gt;"Yes"),"",IFERROR(INDEX(Clients!$F$6:$F$25,MATCH(B416,Clients!$B$6:$B$25,0)),""))</f>
        <v/>
      </c>
      <c r="G416" s="73" t="str">
        <f aca="false">IF(AND(ISNUMBER(D416),ISNUMBER(F416)),D416*F416,"")</f>
        <v/>
      </c>
      <c r="H416" s="51"/>
      <c r="I416" s="51"/>
    </row>
    <row r="417" customFormat="false" ht="15" hidden="false" customHeight="false" outlineLevel="0" collapsed="false">
      <c r="A417" s="65"/>
      <c r="B417" s="51"/>
      <c r="C417" s="51"/>
      <c r="D417" s="72"/>
      <c r="E417" s="51"/>
      <c r="F417" s="35" t="str">
        <f aca="false">IF(OR(B417="",E417&lt;&gt;"Yes"),"",IFERROR(INDEX(Clients!$F$6:$F$25,MATCH(B417,Clients!$B$6:$B$25,0)),""))</f>
        <v/>
      </c>
      <c r="G417" s="73" t="str">
        <f aca="false">IF(AND(ISNUMBER(D417),ISNUMBER(F417)),D417*F417,"")</f>
        <v/>
      </c>
      <c r="H417" s="51"/>
      <c r="I417" s="51"/>
    </row>
    <row r="418" customFormat="false" ht="15" hidden="false" customHeight="false" outlineLevel="0" collapsed="false">
      <c r="A418" s="65"/>
      <c r="B418" s="51"/>
      <c r="C418" s="51"/>
      <c r="D418" s="72"/>
      <c r="E418" s="51"/>
      <c r="F418" s="35" t="str">
        <f aca="false">IF(OR(B418="",E418&lt;&gt;"Yes"),"",IFERROR(INDEX(Clients!$F$6:$F$25,MATCH(B418,Clients!$B$6:$B$25,0)),""))</f>
        <v/>
      </c>
      <c r="G418" s="73" t="str">
        <f aca="false">IF(AND(ISNUMBER(D418),ISNUMBER(F418)),D418*F418,"")</f>
        <v/>
      </c>
      <c r="H418" s="51"/>
      <c r="I418" s="51"/>
    </row>
    <row r="419" customFormat="false" ht="15" hidden="false" customHeight="false" outlineLevel="0" collapsed="false">
      <c r="A419" s="65"/>
      <c r="B419" s="51"/>
      <c r="C419" s="51"/>
      <c r="D419" s="72"/>
      <c r="E419" s="51"/>
      <c r="F419" s="35" t="str">
        <f aca="false">IF(OR(B419="",E419&lt;&gt;"Yes"),"",IFERROR(INDEX(Clients!$F$6:$F$25,MATCH(B419,Clients!$B$6:$B$25,0)),""))</f>
        <v/>
      </c>
      <c r="G419" s="73" t="str">
        <f aca="false">IF(AND(ISNUMBER(D419),ISNUMBER(F419)),D419*F419,"")</f>
        <v/>
      </c>
      <c r="H419" s="51"/>
      <c r="I419" s="51"/>
    </row>
    <row r="420" customFormat="false" ht="15" hidden="false" customHeight="false" outlineLevel="0" collapsed="false">
      <c r="A420" s="65"/>
      <c r="B420" s="51"/>
      <c r="C420" s="51"/>
      <c r="D420" s="72"/>
      <c r="E420" s="51"/>
      <c r="F420" s="35" t="str">
        <f aca="false">IF(OR(B420="",E420&lt;&gt;"Yes"),"",IFERROR(INDEX(Clients!$F$6:$F$25,MATCH(B420,Clients!$B$6:$B$25,0)),""))</f>
        <v/>
      </c>
      <c r="G420" s="73" t="str">
        <f aca="false">IF(AND(ISNUMBER(D420),ISNUMBER(F420)),D420*F420,"")</f>
        <v/>
      </c>
      <c r="H420" s="51"/>
      <c r="I420" s="51"/>
    </row>
    <row r="421" customFormat="false" ht="15" hidden="false" customHeight="false" outlineLevel="0" collapsed="false">
      <c r="A421" s="65"/>
      <c r="B421" s="51"/>
      <c r="C421" s="51"/>
      <c r="D421" s="72"/>
      <c r="E421" s="51"/>
      <c r="F421" s="35" t="str">
        <f aca="false">IF(OR(B421="",E421&lt;&gt;"Yes"),"",IFERROR(INDEX(Clients!$F$6:$F$25,MATCH(B421,Clients!$B$6:$B$25,0)),""))</f>
        <v/>
      </c>
      <c r="G421" s="73" t="str">
        <f aca="false">IF(AND(ISNUMBER(D421),ISNUMBER(F421)),D421*F421,"")</f>
        <v/>
      </c>
      <c r="H421" s="51"/>
      <c r="I421" s="51"/>
    </row>
    <row r="422" customFormat="false" ht="15" hidden="false" customHeight="false" outlineLevel="0" collapsed="false">
      <c r="A422" s="65"/>
      <c r="B422" s="51"/>
      <c r="C422" s="51"/>
      <c r="D422" s="72"/>
      <c r="E422" s="51"/>
      <c r="F422" s="35" t="str">
        <f aca="false">IF(OR(B422="",E422&lt;&gt;"Yes"),"",IFERROR(INDEX(Clients!$F$6:$F$25,MATCH(B422,Clients!$B$6:$B$25,0)),""))</f>
        <v/>
      </c>
      <c r="G422" s="73" t="str">
        <f aca="false">IF(AND(ISNUMBER(D422),ISNUMBER(F422)),D422*F422,"")</f>
        <v/>
      </c>
      <c r="H422" s="51"/>
      <c r="I422" s="51"/>
    </row>
    <row r="423" customFormat="false" ht="15" hidden="false" customHeight="false" outlineLevel="0" collapsed="false">
      <c r="A423" s="65"/>
      <c r="B423" s="51"/>
      <c r="C423" s="51"/>
      <c r="D423" s="72"/>
      <c r="E423" s="51"/>
      <c r="F423" s="35" t="str">
        <f aca="false">IF(OR(B423="",E423&lt;&gt;"Yes"),"",IFERROR(INDEX(Clients!$F$6:$F$25,MATCH(B423,Clients!$B$6:$B$25,0)),""))</f>
        <v/>
      </c>
      <c r="G423" s="73" t="str">
        <f aca="false">IF(AND(ISNUMBER(D423),ISNUMBER(F423)),D423*F423,"")</f>
        <v/>
      </c>
      <c r="H423" s="51"/>
      <c r="I423" s="51"/>
    </row>
    <row r="424" customFormat="false" ht="15" hidden="false" customHeight="false" outlineLevel="0" collapsed="false">
      <c r="A424" s="65"/>
      <c r="B424" s="51"/>
      <c r="C424" s="51"/>
      <c r="D424" s="72"/>
      <c r="E424" s="51"/>
      <c r="F424" s="35" t="str">
        <f aca="false">IF(OR(B424="",E424&lt;&gt;"Yes"),"",IFERROR(INDEX(Clients!$F$6:$F$25,MATCH(B424,Clients!$B$6:$B$25,0)),""))</f>
        <v/>
      </c>
      <c r="G424" s="73" t="str">
        <f aca="false">IF(AND(ISNUMBER(D424),ISNUMBER(F424)),D424*F424,"")</f>
        <v/>
      </c>
      <c r="H424" s="51"/>
      <c r="I424" s="51"/>
    </row>
    <row r="425" customFormat="false" ht="15" hidden="false" customHeight="false" outlineLevel="0" collapsed="false">
      <c r="A425" s="65"/>
      <c r="B425" s="51"/>
      <c r="C425" s="51"/>
      <c r="D425" s="72"/>
      <c r="E425" s="51"/>
      <c r="F425" s="35" t="str">
        <f aca="false">IF(OR(B425="",E425&lt;&gt;"Yes"),"",IFERROR(INDEX(Clients!$F$6:$F$25,MATCH(B425,Clients!$B$6:$B$25,0)),""))</f>
        <v/>
      </c>
      <c r="G425" s="73" t="str">
        <f aca="false">IF(AND(ISNUMBER(D425),ISNUMBER(F425)),D425*F425,"")</f>
        <v/>
      </c>
      <c r="H425" s="51"/>
      <c r="I425" s="51"/>
    </row>
    <row r="426" customFormat="false" ht="15" hidden="false" customHeight="false" outlineLevel="0" collapsed="false">
      <c r="A426" s="65"/>
      <c r="B426" s="51"/>
      <c r="C426" s="51"/>
      <c r="D426" s="72"/>
      <c r="E426" s="51"/>
      <c r="F426" s="35" t="str">
        <f aca="false">IF(OR(B426="",E426&lt;&gt;"Yes"),"",IFERROR(INDEX(Clients!$F$6:$F$25,MATCH(B426,Clients!$B$6:$B$25,0)),""))</f>
        <v/>
      </c>
      <c r="G426" s="73" t="str">
        <f aca="false">IF(AND(ISNUMBER(D426),ISNUMBER(F426)),D426*F426,"")</f>
        <v/>
      </c>
      <c r="H426" s="51"/>
      <c r="I426" s="51"/>
    </row>
    <row r="427" customFormat="false" ht="15" hidden="false" customHeight="false" outlineLevel="0" collapsed="false">
      <c r="A427" s="65"/>
      <c r="B427" s="51"/>
      <c r="C427" s="51"/>
      <c r="D427" s="72"/>
      <c r="E427" s="51"/>
      <c r="F427" s="35" t="str">
        <f aca="false">IF(OR(B427="",E427&lt;&gt;"Yes"),"",IFERROR(INDEX(Clients!$F$6:$F$25,MATCH(B427,Clients!$B$6:$B$25,0)),""))</f>
        <v/>
      </c>
      <c r="G427" s="73" t="str">
        <f aca="false">IF(AND(ISNUMBER(D427),ISNUMBER(F427)),D427*F427,"")</f>
        <v/>
      </c>
      <c r="H427" s="51"/>
      <c r="I427" s="51"/>
    </row>
    <row r="428" customFormat="false" ht="15" hidden="false" customHeight="false" outlineLevel="0" collapsed="false">
      <c r="A428" s="65"/>
      <c r="B428" s="51"/>
      <c r="C428" s="51"/>
      <c r="D428" s="72"/>
      <c r="E428" s="51"/>
      <c r="F428" s="35" t="str">
        <f aca="false">IF(OR(B428="",E428&lt;&gt;"Yes"),"",IFERROR(INDEX(Clients!$F$6:$F$25,MATCH(B428,Clients!$B$6:$B$25,0)),""))</f>
        <v/>
      </c>
      <c r="G428" s="73" t="str">
        <f aca="false">IF(AND(ISNUMBER(D428),ISNUMBER(F428)),D428*F428,"")</f>
        <v/>
      </c>
      <c r="H428" s="51"/>
      <c r="I428" s="51"/>
    </row>
    <row r="429" customFormat="false" ht="15" hidden="false" customHeight="false" outlineLevel="0" collapsed="false">
      <c r="A429" s="65"/>
      <c r="B429" s="51"/>
      <c r="C429" s="51"/>
      <c r="D429" s="72"/>
      <c r="E429" s="51"/>
      <c r="F429" s="35" t="str">
        <f aca="false">IF(OR(B429="",E429&lt;&gt;"Yes"),"",IFERROR(INDEX(Clients!$F$6:$F$25,MATCH(B429,Clients!$B$6:$B$25,0)),""))</f>
        <v/>
      </c>
      <c r="G429" s="73" t="str">
        <f aca="false">IF(AND(ISNUMBER(D429),ISNUMBER(F429)),D429*F429,"")</f>
        <v/>
      </c>
      <c r="H429" s="51"/>
      <c r="I429" s="51"/>
    </row>
    <row r="430" customFormat="false" ht="15" hidden="false" customHeight="false" outlineLevel="0" collapsed="false">
      <c r="A430" s="65"/>
      <c r="B430" s="51"/>
      <c r="C430" s="51"/>
      <c r="D430" s="72"/>
      <c r="E430" s="51"/>
      <c r="F430" s="35" t="str">
        <f aca="false">IF(OR(B430="",E430&lt;&gt;"Yes"),"",IFERROR(INDEX(Clients!$F$6:$F$25,MATCH(B430,Clients!$B$6:$B$25,0)),""))</f>
        <v/>
      </c>
      <c r="G430" s="73" t="str">
        <f aca="false">IF(AND(ISNUMBER(D430),ISNUMBER(F430)),D430*F430,"")</f>
        <v/>
      </c>
      <c r="H430" s="51"/>
      <c r="I430" s="51"/>
    </row>
    <row r="431" customFormat="false" ht="15" hidden="false" customHeight="false" outlineLevel="0" collapsed="false">
      <c r="A431" s="65"/>
      <c r="B431" s="51"/>
      <c r="C431" s="51"/>
      <c r="D431" s="72"/>
      <c r="E431" s="51"/>
      <c r="F431" s="35" t="str">
        <f aca="false">IF(OR(B431="",E431&lt;&gt;"Yes"),"",IFERROR(INDEX(Clients!$F$6:$F$25,MATCH(B431,Clients!$B$6:$B$25,0)),""))</f>
        <v/>
      </c>
      <c r="G431" s="73" t="str">
        <f aca="false">IF(AND(ISNUMBER(D431),ISNUMBER(F431)),D431*F431,"")</f>
        <v/>
      </c>
      <c r="H431" s="51"/>
      <c r="I431" s="51"/>
    </row>
    <row r="432" customFormat="false" ht="15" hidden="false" customHeight="false" outlineLevel="0" collapsed="false">
      <c r="A432" s="65"/>
      <c r="B432" s="51"/>
      <c r="C432" s="51"/>
      <c r="D432" s="72"/>
      <c r="E432" s="51"/>
      <c r="F432" s="35" t="str">
        <f aca="false">IF(OR(B432="",E432&lt;&gt;"Yes"),"",IFERROR(INDEX(Clients!$F$6:$F$25,MATCH(B432,Clients!$B$6:$B$25,0)),""))</f>
        <v/>
      </c>
      <c r="G432" s="73" t="str">
        <f aca="false">IF(AND(ISNUMBER(D432),ISNUMBER(F432)),D432*F432,"")</f>
        <v/>
      </c>
      <c r="H432" s="51"/>
      <c r="I432" s="51"/>
    </row>
    <row r="433" customFormat="false" ht="15" hidden="false" customHeight="false" outlineLevel="0" collapsed="false">
      <c r="A433" s="65"/>
      <c r="B433" s="51"/>
      <c r="C433" s="51"/>
      <c r="D433" s="72"/>
      <c r="E433" s="51"/>
      <c r="F433" s="35" t="str">
        <f aca="false">IF(OR(B433="",E433&lt;&gt;"Yes"),"",IFERROR(INDEX(Clients!$F$6:$F$25,MATCH(B433,Clients!$B$6:$B$25,0)),""))</f>
        <v/>
      </c>
      <c r="G433" s="73" t="str">
        <f aca="false">IF(AND(ISNUMBER(D433),ISNUMBER(F433)),D433*F433,"")</f>
        <v/>
      </c>
      <c r="H433" s="51"/>
      <c r="I433" s="51"/>
    </row>
    <row r="434" customFormat="false" ht="15" hidden="false" customHeight="false" outlineLevel="0" collapsed="false">
      <c r="A434" s="65"/>
      <c r="B434" s="51"/>
      <c r="C434" s="51"/>
      <c r="D434" s="72"/>
      <c r="E434" s="51"/>
      <c r="F434" s="35" t="str">
        <f aca="false">IF(OR(B434="",E434&lt;&gt;"Yes"),"",IFERROR(INDEX(Clients!$F$6:$F$25,MATCH(B434,Clients!$B$6:$B$25,0)),""))</f>
        <v/>
      </c>
      <c r="G434" s="73" t="str">
        <f aca="false">IF(AND(ISNUMBER(D434),ISNUMBER(F434)),D434*F434,"")</f>
        <v/>
      </c>
      <c r="H434" s="51"/>
      <c r="I434" s="51"/>
    </row>
    <row r="435" customFormat="false" ht="15" hidden="false" customHeight="false" outlineLevel="0" collapsed="false">
      <c r="A435" s="65"/>
      <c r="B435" s="51"/>
      <c r="C435" s="51"/>
      <c r="D435" s="72"/>
      <c r="E435" s="51"/>
      <c r="F435" s="35" t="str">
        <f aca="false">IF(OR(B435="",E435&lt;&gt;"Yes"),"",IFERROR(INDEX(Clients!$F$6:$F$25,MATCH(B435,Clients!$B$6:$B$25,0)),""))</f>
        <v/>
      </c>
      <c r="G435" s="73" t="str">
        <f aca="false">IF(AND(ISNUMBER(D435),ISNUMBER(F435)),D435*F435,"")</f>
        <v/>
      </c>
      <c r="H435" s="51"/>
      <c r="I435" s="51"/>
    </row>
    <row r="436" customFormat="false" ht="15" hidden="false" customHeight="false" outlineLevel="0" collapsed="false">
      <c r="A436" s="65"/>
      <c r="B436" s="51"/>
      <c r="C436" s="51"/>
      <c r="D436" s="72"/>
      <c r="E436" s="51"/>
      <c r="F436" s="35" t="str">
        <f aca="false">IF(OR(B436="",E436&lt;&gt;"Yes"),"",IFERROR(INDEX(Clients!$F$6:$F$25,MATCH(B436,Clients!$B$6:$B$25,0)),""))</f>
        <v/>
      </c>
      <c r="G436" s="73" t="str">
        <f aca="false">IF(AND(ISNUMBER(D436),ISNUMBER(F436)),D436*F436,"")</f>
        <v/>
      </c>
      <c r="H436" s="51"/>
      <c r="I436" s="51"/>
    </row>
    <row r="437" customFormat="false" ht="15" hidden="false" customHeight="false" outlineLevel="0" collapsed="false">
      <c r="A437" s="65"/>
      <c r="B437" s="51"/>
      <c r="C437" s="51"/>
      <c r="D437" s="72"/>
      <c r="E437" s="51"/>
      <c r="F437" s="35" t="str">
        <f aca="false">IF(OR(B437="",E437&lt;&gt;"Yes"),"",IFERROR(INDEX(Clients!$F$6:$F$25,MATCH(B437,Clients!$B$6:$B$25,0)),""))</f>
        <v/>
      </c>
      <c r="G437" s="73" t="str">
        <f aca="false">IF(AND(ISNUMBER(D437),ISNUMBER(F437)),D437*F437,"")</f>
        <v/>
      </c>
      <c r="H437" s="51"/>
      <c r="I437" s="51"/>
    </row>
    <row r="438" customFormat="false" ht="15" hidden="false" customHeight="false" outlineLevel="0" collapsed="false">
      <c r="A438" s="65"/>
      <c r="B438" s="51"/>
      <c r="C438" s="51"/>
      <c r="D438" s="72"/>
      <c r="E438" s="51"/>
      <c r="F438" s="35" t="str">
        <f aca="false">IF(OR(B438="",E438&lt;&gt;"Yes"),"",IFERROR(INDEX(Clients!$F$6:$F$25,MATCH(B438,Clients!$B$6:$B$25,0)),""))</f>
        <v/>
      </c>
      <c r="G438" s="73" t="str">
        <f aca="false">IF(AND(ISNUMBER(D438),ISNUMBER(F438)),D438*F438,"")</f>
        <v/>
      </c>
      <c r="H438" s="51"/>
      <c r="I438" s="51"/>
    </row>
    <row r="439" customFormat="false" ht="15" hidden="false" customHeight="false" outlineLevel="0" collapsed="false">
      <c r="A439" s="65"/>
      <c r="B439" s="51"/>
      <c r="C439" s="51"/>
      <c r="D439" s="72"/>
      <c r="E439" s="51"/>
      <c r="F439" s="35" t="str">
        <f aca="false">IF(OR(B439="",E439&lt;&gt;"Yes"),"",IFERROR(INDEX(Clients!$F$6:$F$25,MATCH(B439,Clients!$B$6:$B$25,0)),""))</f>
        <v/>
      </c>
      <c r="G439" s="73" t="str">
        <f aca="false">IF(AND(ISNUMBER(D439),ISNUMBER(F439)),D439*F439,"")</f>
        <v/>
      </c>
      <c r="H439" s="51"/>
      <c r="I439" s="51"/>
    </row>
    <row r="440" customFormat="false" ht="15" hidden="false" customHeight="false" outlineLevel="0" collapsed="false">
      <c r="A440" s="65"/>
      <c r="B440" s="51"/>
      <c r="C440" s="51"/>
      <c r="D440" s="72"/>
      <c r="E440" s="51"/>
      <c r="F440" s="35" t="str">
        <f aca="false">IF(OR(B440="",E440&lt;&gt;"Yes"),"",IFERROR(INDEX(Clients!$F$6:$F$25,MATCH(B440,Clients!$B$6:$B$25,0)),""))</f>
        <v/>
      </c>
      <c r="G440" s="73" t="str">
        <f aca="false">IF(AND(ISNUMBER(D440),ISNUMBER(F440)),D440*F440,"")</f>
        <v/>
      </c>
      <c r="H440" s="51"/>
      <c r="I440" s="51"/>
    </row>
    <row r="441" customFormat="false" ht="15" hidden="false" customHeight="false" outlineLevel="0" collapsed="false">
      <c r="A441" s="65"/>
      <c r="B441" s="51"/>
      <c r="C441" s="51"/>
      <c r="D441" s="72"/>
      <c r="E441" s="51"/>
      <c r="F441" s="35" t="str">
        <f aca="false">IF(OR(B441="",E441&lt;&gt;"Yes"),"",IFERROR(INDEX(Clients!$F$6:$F$25,MATCH(B441,Clients!$B$6:$B$25,0)),""))</f>
        <v/>
      </c>
      <c r="G441" s="73" t="str">
        <f aca="false">IF(AND(ISNUMBER(D441),ISNUMBER(F441)),D441*F441,"")</f>
        <v/>
      </c>
      <c r="H441" s="51"/>
      <c r="I441" s="51"/>
    </row>
    <row r="442" customFormat="false" ht="15" hidden="false" customHeight="false" outlineLevel="0" collapsed="false">
      <c r="A442" s="65"/>
      <c r="B442" s="51"/>
      <c r="C442" s="51"/>
      <c r="D442" s="72"/>
      <c r="E442" s="51"/>
      <c r="F442" s="35" t="str">
        <f aca="false">IF(OR(B442="",E442&lt;&gt;"Yes"),"",IFERROR(INDEX(Clients!$F$6:$F$25,MATCH(B442,Clients!$B$6:$B$25,0)),""))</f>
        <v/>
      </c>
      <c r="G442" s="73" t="str">
        <f aca="false">IF(AND(ISNUMBER(D442),ISNUMBER(F442)),D442*F442,"")</f>
        <v/>
      </c>
      <c r="H442" s="51"/>
      <c r="I442" s="51"/>
    </row>
    <row r="443" customFormat="false" ht="15" hidden="false" customHeight="false" outlineLevel="0" collapsed="false">
      <c r="A443" s="65"/>
      <c r="B443" s="51"/>
      <c r="C443" s="51"/>
      <c r="D443" s="72"/>
      <c r="E443" s="51"/>
      <c r="F443" s="35" t="str">
        <f aca="false">IF(OR(B443="",E443&lt;&gt;"Yes"),"",IFERROR(INDEX(Clients!$F$6:$F$25,MATCH(B443,Clients!$B$6:$B$25,0)),""))</f>
        <v/>
      </c>
      <c r="G443" s="73" t="str">
        <f aca="false">IF(AND(ISNUMBER(D443),ISNUMBER(F443)),D443*F443,"")</f>
        <v/>
      </c>
      <c r="H443" s="51"/>
      <c r="I443" s="51"/>
    </row>
    <row r="444" customFormat="false" ht="15" hidden="false" customHeight="false" outlineLevel="0" collapsed="false">
      <c r="A444" s="65"/>
      <c r="B444" s="51"/>
      <c r="C444" s="51"/>
      <c r="D444" s="72"/>
      <c r="E444" s="51"/>
      <c r="F444" s="35" t="str">
        <f aca="false">IF(OR(B444="",E444&lt;&gt;"Yes"),"",IFERROR(INDEX(Clients!$F$6:$F$25,MATCH(B444,Clients!$B$6:$B$25,0)),""))</f>
        <v/>
      </c>
      <c r="G444" s="73" t="str">
        <f aca="false">IF(AND(ISNUMBER(D444),ISNUMBER(F444)),D444*F444,"")</f>
        <v/>
      </c>
      <c r="H444" s="51"/>
      <c r="I444" s="51"/>
    </row>
    <row r="445" customFormat="false" ht="15" hidden="false" customHeight="false" outlineLevel="0" collapsed="false">
      <c r="A445" s="65"/>
      <c r="B445" s="51"/>
      <c r="C445" s="51"/>
      <c r="D445" s="72"/>
      <c r="E445" s="51"/>
      <c r="F445" s="35" t="str">
        <f aca="false">IF(OR(B445="",E445&lt;&gt;"Yes"),"",IFERROR(INDEX(Clients!$F$6:$F$25,MATCH(B445,Clients!$B$6:$B$25,0)),""))</f>
        <v/>
      </c>
      <c r="G445" s="73" t="str">
        <f aca="false">IF(AND(ISNUMBER(D445),ISNUMBER(F445)),D445*F445,"")</f>
        <v/>
      </c>
      <c r="H445" s="51"/>
      <c r="I445" s="51"/>
    </row>
    <row r="446" customFormat="false" ht="15" hidden="false" customHeight="false" outlineLevel="0" collapsed="false">
      <c r="A446" s="65"/>
      <c r="B446" s="51"/>
      <c r="C446" s="51"/>
      <c r="D446" s="72"/>
      <c r="E446" s="51"/>
      <c r="F446" s="35" t="str">
        <f aca="false">IF(OR(B446="",E446&lt;&gt;"Yes"),"",IFERROR(INDEX(Clients!$F$6:$F$25,MATCH(B446,Clients!$B$6:$B$25,0)),""))</f>
        <v/>
      </c>
      <c r="G446" s="73" t="str">
        <f aca="false">IF(AND(ISNUMBER(D446),ISNUMBER(F446)),D446*F446,"")</f>
        <v/>
      </c>
      <c r="H446" s="51"/>
      <c r="I446" s="51"/>
    </row>
    <row r="447" customFormat="false" ht="15" hidden="false" customHeight="false" outlineLevel="0" collapsed="false">
      <c r="A447" s="65"/>
      <c r="B447" s="51"/>
      <c r="C447" s="51"/>
      <c r="D447" s="72"/>
      <c r="E447" s="51"/>
      <c r="F447" s="35" t="str">
        <f aca="false">IF(OR(B447="",E447&lt;&gt;"Yes"),"",IFERROR(INDEX(Clients!$F$6:$F$25,MATCH(B447,Clients!$B$6:$B$25,0)),""))</f>
        <v/>
      </c>
      <c r="G447" s="73" t="str">
        <f aca="false">IF(AND(ISNUMBER(D447),ISNUMBER(F447)),D447*F447,"")</f>
        <v/>
      </c>
      <c r="H447" s="51"/>
      <c r="I447" s="51"/>
    </row>
    <row r="448" customFormat="false" ht="15" hidden="false" customHeight="false" outlineLevel="0" collapsed="false">
      <c r="A448" s="65"/>
      <c r="B448" s="51"/>
      <c r="C448" s="51"/>
      <c r="D448" s="72"/>
      <c r="E448" s="51"/>
      <c r="F448" s="35" t="str">
        <f aca="false">IF(OR(B448="",E448&lt;&gt;"Yes"),"",IFERROR(INDEX(Clients!$F$6:$F$25,MATCH(B448,Clients!$B$6:$B$25,0)),""))</f>
        <v/>
      </c>
      <c r="G448" s="73" t="str">
        <f aca="false">IF(AND(ISNUMBER(D448),ISNUMBER(F448)),D448*F448,"")</f>
        <v/>
      </c>
      <c r="H448" s="51"/>
      <c r="I448" s="51"/>
    </row>
    <row r="449" customFormat="false" ht="15" hidden="false" customHeight="false" outlineLevel="0" collapsed="false">
      <c r="A449" s="65"/>
      <c r="B449" s="51"/>
      <c r="C449" s="51"/>
      <c r="D449" s="72"/>
      <c r="E449" s="51"/>
      <c r="F449" s="35" t="str">
        <f aca="false">IF(OR(B449="",E449&lt;&gt;"Yes"),"",IFERROR(INDEX(Clients!$F$6:$F$25,MATCH(B449,Clients!$B$6:$B$25,0)),""))</f>
        <v/>
      </c>
      <c r="G449" s="73" t="str">
        <f aca="false">IF(AND(ISNUMBER(D449),ISNUMBER(F449)),D449*F449,"")</f>
        <v/>
      </c>
      <c r="H449" s="51"/>
      <c r="I449" s="51"/>
    </row>
    <row r="450" customFormat="false" ht="15" hidden="false" customHeight="false" outlineLevel="0" collapsed="false">
      <c r="A450" s="65"/>
      <c r="B450" s="51"/>
      <c r="C450" s="51"/>
      <c r="D450" s="72"/>
      <c r="E450" s="51"/>
      <c r="F450" s="35" t="str">
        <f aca="false">IF(OR(B450="",E450&lt;&gt;"Yes"),"",IFERROR(INDEX(Clients!$F$6:$F$25,MATCH(B450,Clients!$B$6:$B$25,0)),""))</f>
        <v/>
      </c>
      <c r="G450" s="73" t="str">
        <f aca="false">IF(AND(ISNUMBER(D450),ISNUMBER(F450)),D450*F450,"")</f>
        <v/>
      </c>
      <c r="H450" s="51"/>
      <c r="I450" s="51"/>
    </row>
    <row r="451" customFormat="false" ht="15" hidden="false" customHeight="false" outlineLevel="0" collapsed="false">
      <c r="A451" s="65"/>
      <c r="B451" s="51"/>
      <c r="C451" s="51"/>
      <c r="D451" s="72"/>
      <c r="E451" s="51"/>
      <c r="F451" s="35" t="str">
        <f aca="false">IF(OR(B451="",E451&lt;&gt;"Yes"),"",IFERROR(INDEX(Clients!$F$6:$F$25,MATCH(B451,Clients!$B$6:$B$25,0)),""))</f>
        <v/>
      </c>
      <c r="G451" s="73" t="str">
        <f aca="false">IF(AND(ISNUMBER(D451),ISNUMBER(F451)),D451*F451,"")</f>
        <v/>
      </c>
      <c r="H451" s="51"/>
      <c r="I451" s="51"/>
    </row>
    <row r="452" customFormat="false" ht="15" hidden="false" customHeight="false" outlineLevel="0" collapsed="false">
      <c r="A452" s="65"/>
      <c r="B452" s="51"/>
      <c r="C452" s="51"/>
      <c r="D452" s="72"/>
      <c r="E452" s="51"/>
      <c r="F452" s="35" t="str">
        <f aca="false">IF(OR(B452="",E452&lt;&gt;"Yes"),"",IFERROR(INDEX(Clients!$F$6:$F$25,MATCH(B452,Clients!$B$6:$B$25,0)),""))</f>
        <v/>
      </c>
      <c r="G452" s="73" t="str">
        <f aca="false">IF(AND(ISNUMBER(D452),ISNUMBER(F452)),D452*F452,"")</f>
        <v/>
      </c>
      <c r="H452" s="51"/>
      <c r="I452" s="51"/>
    </row>
    <row r="453" customFormat="false" ht="15" hidden="false" customHeight="false" outlineLevel="0" collapsed="false">
      <c r="A453" s="65"/>
      <c r="B453" s="51"/>
      <c r="C453" s="51"/>
      <c r="D453" s="72"/>
      <c r="E453" s="51"/>
      <c r="F453" s="35" t="str">
        <f aca="false">IF(OR(B453="",E453&lt;&gt;"Yes"),"",IFERROR(INDEX(Clients!$F$6:$F$25,MATCH(B453,Clients!$B$6:$B$25,0)),""))</f>
        <v/>
      </c>
      <c r="G453" s="73" t="str">
        <f aca="false">IF(AND(ISNUMBER(D453),ISNUMBER(F453)),D453*F453,"")</f>
        <v/>
      </c>
      <c r="H453" s="51"/>
      <c r="I453" s="51"/>
    </row>
    <row r="454" customFormat="false" ht="15" hidden="false" customHeight="false" outlineLevel="0" collapsed="false">
      <c r="A454" s="65"/>
      <c r="B454" s="51"/>
      <c r="C454" s="51"/>
      <c r="D454" s="72"/>
      <c r="E454" s="51"/>
      <c r="F454" s="35" t="str">
        <f aca="false">IF(OR(B454="",E454&lt;&gt;"Yes"),"",IFERROR(INDEX(Clients!$F$6:$F$25,MATCH(B454,Clients!$B$6:$B$25,0)),""))</f>
        <v/>
      </c>
      <c r="G454" s="73" t="str">
        <f aca="false">IF(AND(ISNUMBER(D454),ISNUMBER(F454)),D454*F454,"")</f>
        <v/>
      </c>
      <c r="H454" s="51"/>
      <c r="I454" s="51"/>
    </row>
    <row r="455" customFormat="false" ht="15" hidden="false" customHeight="false" outlineLevel="0" collapsed="false">
      <c r="A455" s="65"/>
      <c r="B455" s="51"/>
      <c r="C455" s="51"/>
      <c r="D455" s="72"/>
      <c r="E455" s="51"/>
      <c r="F455" s="35" t="str">
        <f aca="false">IF(OR(B455="",E455&lt;&gt;"Yes"),"",IFERROR(INDEX(Clients!$F$6:$F$25,MATCH(B455,Clients!$B$6:$B$25,0)),""))</f>
        <v/>
      </c>
      <c r="G455" s="73" t="str">
        <f aca="false">IF(AND(ISNUMBER(D455),ISNUMBER(F455)),D455*F455,"")</f>
        <v/>
      </c>
      <c r="H455" s="51"/>
      <c r="I455" s="51"/>
    </row>
    <row r="456" customFormat="false" ht="15" hidden="false" customHeight="false" outlineLevel="0" collapsed="false">
      <c r="A456" s="65"/>
      <c r="B456" s="51"/>
      <c r="C456" s="51"/>
      <c r="D456" s="72"/>
      <c r="E456" s="51"/>
      <c r="F456" s="35" t="str">
        <f aca="false">IF(OR(B456="",E456&lt;&gt;"Yes"),"",IFERROR(INDEX(Clients!$F$6:$F$25,MATCH(B456,Clients!$B$6:$B$25,0)),""))</f>
        <v/>
      </c>
      <c r="G456" s="73" t="str">
        <f aca="false">IF(AND(ISNUMBER(D456),ISNUMBER(F456)),D456*F456,"")</f>
        <v/>
      </c>
      <c r="H456" s="51"/>
      <c r="I456" s="51"/>
    </row>
    <row r="457" customFormat="false" ht="15" hidden="false" customHeight="false" outlineLevel="0" collapsed="false">
      <c r="A457" s="65"/>
      <c r="B457" s="51"/>
      <c r="C457" s="51"/>
      <c r="D457" s="72"/>
      <c r="E457" s="51"/>
      <c r="F457" s="35" t="str">
        <f aca="false">IF(OR(B457="",E457&lt;&gt;"Yes"),"",IFERROR(INDEX(Clients!$F$6:$F$25,MATCH(B457,Clients!$B$6:$B$25,0)),""))</f>
        <v/>
      </c>
      <c r="G457" s="73" t="str">
        <f aca="false">IF(AND(ISNUMBER(D457),ISNUMBER(F457)),D457*F457,"")</f>
        <v/>
      </c>
      <c r="H457" s="51"/>
      <c r="I457" s="51"/>
    </row>
    <row r="458" customFormat="false" ht="15" hidden="false" customHeight="false" outlineLevel="0" collapsed="false">
      <c r="A458" s="65"/>
      <c r="B458" s="51"/>
      <c r="C458" s="51"/>
      <c r="D458" s="72"/>
      <c r="E458" s="51"/>
      <c r="F458" s="35" t="str">
        <f aca="false">IF(OR(B458="",E458&lt;&gt;"Yes"),"",IFERROR(INDEX(Clients!$F$6:$F$25,MATCH(B458,Clients!$B$6:$B$25,0)),""))</f>
        <v/>
      </c>
      <c r="G458" s="73" t="str">
        <f aca="false">IF(AND(ISNUMBER(D458),ISNUMBER(F458)),D458*F458,"")</f>
        <v/>
      </c>
      <c r="H458" s="51"/>
      <c r="I458" s="51"/>
    </row>
    <row r="459" customFormat="false" ht="15" hidden="false" customHeight="false" outlineLevel="0" collapsed="false">
      <c r="A459" s="65"/>
      <c r="B459" s="51"/>
      <c r="C459" s="51"/>
      <c r="D459" s="72"/>
      <c r="E459" s="51"/>
      <c r="F459" s="35" t="str">
        <f aca="false">IF(OR(B459="",E459&lt;&gt;"Yes"),"",IFERROR(INDEX(Clients!$F$6:$F$25,MATCH(B459,Clients!$B$6:$B$25,0)),""))</f>
        <v/>
      </c>
      <c r="G459" s="73" t="str">
        <f aca="false">IF(AND(ISNUMBER(D459),ISNUMBER(F459)),D459*F459,"")</f>
        <v/>
      </c>
      <c r="H459" s="51"/>
      <c r="I459" s="51"/>
    </row>
    <row r="460" customFormat="false" ht="15" hidden="false" customHeight="false" outlineLevel="0" collapsed="false">
      <c r="A460" s="65"/>
      <c r="B460" s="51"/>
      <c r="C460" s="51"/>
      <c r="D460" s="72"/>
      <c r="E460" s="51"/>
      <c r="F460" s="35" t="str">
        <f aca="false">IF(OR(B460="",E460&lt;&gt;"Yes"),"",IFERROR(INDEX(Clients!$F$6:$F$25,MATCH(B460,Clients!$B$6:$B$25,0)),""))</f>
        <v/>
      </c>
      <c r="G460" s="73" t="str">
        <f aca="false">IF(AND(ISNUMBER(D460),ISNUMBER(F460)),D460*F460,"")</f>
        <v/>
      </c>
      <c r="H460" s="51"/>
      <c r="I460" s="51"/>
    </row>
    <row r="461" customFormat="false" ht="15" hidden="false" customHeight="false" outlineLevel="0" collapsed="false">
      <c r="A461" s="65"/>
      <c r="B461" s="51"/>
      <c r="C461" s="51"/>
      <c r="D461" s="72"/>
      <c r="E461" s="51"/>
      <c r="F461" s="35" t="str">
        <f aca="false">IF(OR(B461="",E461&lt;&gt;"Yes"),"",IFERROR(INDEX(Clients!$F$6:$F$25,MATCH(B461,Clients!$B$6:$B$25,0)),""))</f>
        <v/>
      </c>
      <c r="G461" s="73" t="str">
        <f aca="false">IF(AND(ISNUMBER(D461),ISNUMBER(F461)),D461*F461,"")</f>
        <v/>
      </c>
      <c r="H461" s="51"/>
      <c r="I461" s="51"/>
    </row>
    <row r="462" customFormat="false" ht="15" hidden="false" customHeight="false" outlineLevel="0" collapsed="false">
      <c r="A462" s="65"/>
      <c r="B462" s="51"/>
      <c r="C462" s="51"/>
      <c r="D462" s="72"/>
      <c r="E462" s="51"/>
      <c r="F462" s="35" t="str">
        <f aca="false">IF(OR(B462="",E462&lt;&gt;"Yes"),"",IFERROR(INDEX(Clients!$F$6:$F$25,MATCH(B462,Clients!$B$6:$B$25,0)),""))</f>
        <v/>
      </c>
      <c r="G462" s="73" t="str">
        <f aca="false">IF(AND(ISNUMBER(D462),ISNUMBER(F462)),D462*F462,"")</f>
        <v/>
      </c>
      <c r="H462" s="51"/>
      <c r="I462" s="51"/>
    </row>
    <row r="463" customFormat="false" ht="15" hidden="false" customHeight="false" outlineLevel="0" collapsed="false">
      <c r="A463" s="65"/>
      <c r="B463" s="51"/>
      <c r="C463" s="51"/>
      <c r="D463" s="72"/>
      <c r="E463" s="51"/>
      <c r="F463" s="35" t="str">
        <f aca="false">IF(OR(B463="",E463&lt;&gt;"Yes"),"",IFERROR(INDEX(Clients!$F$6:$F$25,MATCH(B463,Clients!$B$6:$B$25,0)),""))</f>
        <v/>
      </c>
      <c r="G463" s="73" t="str">
        <f aca="false">IF(AND(ISNUMBER(D463),ISNUMBER(F463)),D463*F463,"")</f>
        <v/>
      </c>
      <c r="H463" s="51"/>
      <c r="I463" s="51"/>
    </row>
    <row r="464" customFormat="false" ht="15" hidden="false" customHeight="false" outlineLevel="0" collapsed="false">
      <c r="A464" s="65"/>
      <c r="B464" s="51"/>
      <c r="C464" s="51"/>
      <c r="D464" s="72"/>
      <c r="E464" s="51"/>
      <c r="F464" s="35" t="str">
        <f aca="false">IF(OR(B464="",E464&lt;&gt;"Yes"),"",IFERROR(INDEX(Clients!$F$6:$F$25,MATCH(B464,Clients!$B$6:$B$25,0)),""))</f>
        <v/>
      </c>
      <c r="G464" s="73" t="str">
        <f aca="false">IF(AND(ISNUMBER(D464),ISNUMBER(F464)),D464*F464,"")</f>
        <v/>
      </c>
      <c r="H464" s="51"/>
      <c r="I464" s="51"/>
    </row>
    <row r="465" customFormat="false" ht="15" hidden="false" customHeight="false" outlineLevel="0" collapsed="false">
      <c r="A465" s="65"/>
      <c r="B465" s="51"/>
      <c r="C465" s="51"/>
      <c r="D465" s="72"/>
      <c r="E465" s="51"/>
      <c r="F465" s="35" t="str">
        <f aca="false">IF(OR(B465="",E465&lt;&gt;"Yes"),"",IFERROR(INDEX(Clients!$F$6:$F$25,MATCH(B465,Clients!$B$6:$B$25,0)),""))</f>
        <v/>
      </c>
      <c r="G465" s="73" t="str">
        <f aca="false">IF(AND(ISNUMBER(D465),ISNUMBER(F465)),D465*F465,"")</f>
        <v/>
      </c>
      <c r="H465" s="51"/>
      <c r="I465" s="51"/>
    </row>
    <row r="466" customFormat="false" ht="15" hidden="false" customHeight="false" outlineLevel="0" collapsed="false">
      <c r="A466" s="65"/>
      <c r="B466" s="51"/>
      <c r="C466" s="51"/>
      <c r="D466" s="72"/>
      <c r="E466" s="51"/>
      <c r="F466" s="35" t="str">
        <f aca="false">IF(OR(B466="",E466&lt;&gt;"Yes"),"",IFERROR(INDEX(Clients!$F$6:$F$25,MATCH(B466,Clients!$B$6:$B$25,0)),""))</f>
        <v/>
      </c>
      <c r="G466" s="73" t="str">
        <f aca="false">IF(AND(ISNUMBER(D466),ISNUMBER(F466)),D466*F466,"")</f>
        <v/>
      </c>
      <c r="H466" s="51"/>
      <c r="I466" s="51"/>
    </row>
    <row r="467" customFormat="false" ht="15" hidden="false" customHeight="false" outlineLevel="0" collapsed="false">
      <c r="A467" s="65"/>
      <c r="B467" s="51"/>
      <c r="C467" s="51"/>
      <c r="D467" s="72"/>
      <c r="E467" s="51"/>
      <c r="F467" s="35" t="str">
        <f aca="false">IF(OR(B467="",E467&lt;&gt;"Yes"),"",IFERROR(INDEX(Clients!$F$6:$F$25,MATCH(B467,Clients!$B$6:$B$25,0)),""))</f>
        <v/>
      </c>
      <c r="G467" s="73" t="str">
        <f aca="false">IF(AND(ISNUMBER(D467),ISNUMBER(F467)),D467*F467,"")</f>
        <v/>
      </c>
      <c r="H467" s="51"/>
      <c r="I467" s="51"/>
    </row>
    <row r="468" customFormat="false" ht="15" hidden="false" customHeight="false" outlineLevel="0" collapsed="false">
      <c r="A468" s="65"/>
      <c r="B468" s="51"/>
      <c r="C468" s="51"/>
      <c r="D468" s="72"/>
      <c r="E468" s="51"/>
      <c r="F468" s="35" t="str">
        <f aca="false">IF(OR(B468="",E468&lt;&gt;"Yes"),"",IFERROR(INDEX(Clients!$F$6:$F$25,MATCH(B468,Clients!$B$6:$B$25,0)),""))</f>
        <v/>
      </c>
      <c r="G468" s="73" t="str">
        <f aca="false">IF(AND(ISNUMBER(D468),ISNUMBER(F468)),D468*F468,"")</f>
        <v/>
      </c>
      <c r="H468" s="51"/>
      <c r="I468" s="51"/>
    </row>
    <row r="469" customFormat="false" ht="15" hidden="false" customHeight="false" outlineLevel="0" collapsed="false">
      <c r="A469" s="65"/>
      <c r="B469" s="51"/>
      <c r="C469" s="51"/>
      <c r="D469" s="72"/>
      <c r="E469" s="51"/>
      <c r="F469" s="35" t="str">
        <f aca="false">IF(OR(B469="",E469&lt;&gt;"Yes"),"",IFERROR(INDEX(Clients!$F$6:$F$25,MATCH(B469,Clients!$B$6:$B$25,0)),""))</f>
        <v/>
      </c>
      <c r="G469" s="73" t="str">
        <f aca="false">IF(AND(ISNUMBER(D469),ISNUMBER(F469)),D469*F469,"")</f>
        <v/>
      </c>
      <c r="H469" s="51"/>
      <c r="I469" s="51"/>
    </row>
    <row r="470" customFormat="false" ht="15" hidden="false" customHeight="false" outlineLevel="0" collapsed="false">
      <c r="A470" s="65"/>
      <c r="B470" s="51"/>
      <c r="C470" s="51"/>
      <c r="D470" s="72"/>
      <c r="E470" s="51"/>
      <c r="F470" s="35" t="str">
        <f aca="false">IF(OR(B470="",E470&lt;&gt;"Yes"),"",IFERROR(INDEX(Clients!$F$6:$F$25,MATCH(B470,Clients!$B$6:$B$25,0)),""))</f>
        <v/>
      </c>
      <c r="G470" s="73" t="str">
        <f aca="false">IF(AND(ISNUMBER(D470),ISNUMBER(F470)),D470*F470,"")</f>
        <v/>
      </c>
      <c r="H470" s="51"/>
      <c r="I470" s="51"/>
    </row>
    <row r="471" customFormat="false" ht="15" hidden="false" customHeight="false" outlineLevel="0" collapsed="false">
      <c r="A471" s="65"/>
      <c r="B471" s="51"/>
      <c r="C471" s="51"/>
      <c r="D471" s="72"/>
      <c r="E471" s="51"/>
      <c r="F471" s="35" t="str">
        <f aca="false">IF(OR(B471="",E471&lt;&gt;"Yes"),"",IFERROR(INDEX(Clients!$F$6:$F$25,MATCH(B471,Clients!$B$6:$B$25,0)),""))</f>
        <v/>
      </c>
      <c r="G471" s="73" t="str">
        <f aca="false">IF(AND(ISNUMBER(D471),ISNUMBER(F471)),D471*F471,"")</f>
        <v/>
      </c>
      <c r="H471" s="51"/>
      <c r="I471" s="51"/>
    </row>
    <row r="472" customFormat="false" ht="15" hidden="false" customHeight="false" outlineLevel="0" collapsed="false">
      <c r="A472" s="65"/>
      <c r="B472" s="51"/>
      <c r="C472" s="51"/>
      <c r="D472" s="72"/>
      <c r="E472" s="51"/>
      <c r="F472" s="35" t="str">
        <f aca="false">IF(OR(B472="",E472&lt;&gt;"Yes"),"",IFERROR(INDEX(Clients!$F$6:$F$25,MATCH(B472,Clients!$B$6:$B$25,0)),""))</f>
        <v/>
      </c>
      <c r="G472" s="73" t="str">
        <f aca="false">IF(AND(ISNUMBER(D472),ISNUMBER(F472)),D472*F472,"")</f>
        <v/>
      </c>
      <c r="H472" s="51"/>
      <c r="I472" s="51"/>
    </row>
    <row r="473" customFormat="false" ht="15" hidden="false" customHeight="false" outlineLevel="0" collapsed="false">
      <c r="A473" s="65"/>
      <c r="B473" s="51"/>
      <c r="C473" s="51"/>
      <c r="D473" s="72"/>
      <c r="E473" s="51"/>
      <c r="F473" s="35" t="str">
        <f aca="false">IF(OR(B473="",E473&lt;&gt;"Yes"),"",IFERROR(INDEX(Clients!$F$6:$F$25,MATCH(B473,Clients!$B$6:$B$25,0)),""))</f>
        <v/>
      </c>
      <c r="G473" s="73" t="str">
        <f aca="false">IF(AND(ISNUMBER(D473),ISNUMBER(F473)),D473*F473,"")</f>
        <v/>
      </c>
      <c r="H473" s="51"/>
      <c r="I473" s="51"/>
    </row>
    <row r="474" customFormat="false" ht="15" hidden="false" customHeight="false" outlineLevel="0" collapsed="false">
      <c r="A474" s="65"/>
      <c r="B474" s="51"/>
      <c r="C474" s="51"/>
      <c r="D474" s="72"/>
      <c r="E474" s="51"/>
      <c r="F474" s="35" t="str">
        <f aca="false">IF(OR(B474="",E474&lt;&gt;"Yes"),"",IFERROR(INDEX(Clients!$F$6:$F$25,MATCH(B474,Clients!$B$6:$B$25,0)),""))</f>
        <v/>
      </c>
      <c r="G474" s="73" t="str">
        <f aca="false">IF(AND(ISNUMBER(D474),ISNUMBER(F474)),D474*F474,"")</f>
        <v/>
      </c>
      <c r="H474" s="51"/>
      <c r="I474" s="51"/>
    </row>
    <row r="475" customFormat="false" ht="15" hidden="false" customHeight="false" outlineLevel="0" collapsed="false">
      <c r="A475" s="65"/>
      <c r="B475" s="51"/>
      <c r="C475" s="51"/>
      <c r="D475" s="72"/>
      <c r="E475" s="51"/>
      <c r="F475" s="35" t="str">
        <f aca="false">IF(OR(B475="",E475&lt;&gt;"Yes"),"",IFERROR(INDEX(Clients!$F$6:$F$25,MATCH(B475,Clients!$B$6:$B$25,0)),""))</f>
        <v/>
      </c>
      <c r="G475" s="73" t="str">
        <f aca="false">IF(AND(ISNUMBER(D475),ISNUMBER(F475)),D475*F475,"")</f>
        <v/>
      </c>
      <c r="H475" s="51"/>
      <c r="I475" s="51"/>
    </row>
    <row r="476" customFormat="false" ht="15" hidden="false" customHeight="false" outlineLevel="0" collapsed="false">
      <c r="A476" s="65"/>
      <c r="B476" s="51"/>
      <c r="C476" s="51"/>
      <c r="D476" s="72"/>
      <c r="E476" s="51"/>
      <c r="F476" s="35" t="str">
        <f aca="false">IF(OR(B476="",E476&lt;&gt;"Yes"),"",IFERROR(INDEX(Clients!$F$6:$F$25,MATCH(B476,Clients!$B$6:$B$25,0)),""))</f>
        <v/>
      </c>
      <c r="G476" s="73" t="str">
        <f aca="false">IF(AND(ISNUMBER(D476),ISNUMBER(F476)),D476*F476,"")</f>
        <v/>
      </c>
      <c r="H476" s="51"/>
      <c r="I476" s="51"/>
    </row>
    <row r="477" customFormat="false" ht="15" hidden="false" customHeight="false" outlineLevel="0" collapsed="false">
      <c r="A477" s="65"/>
      <c r="B477" s="51"/>
      <c r="C477" s="51"/>
      <c r="D477" s="72"/>
      <c r="E477" s="51"/>
      <c r="F477" s="35" t="str">
        <f aca="false">IF(OR(B477="",E477&lt;&gt;"Yes"),"",IFERROR(INDEX(Clients!$F$6:$F$25,MATCH(B477,Clients!$B$6:$B$25,0)),""))</f>
        <v/>
      </c>
      <c r="G477" s="73" t="str">
        <f aca="false">IF(AND(ISNUMBER(D477),ISNUMBER(F477)),D477*F477,"")</f>
        <v/>
      </c>
      <c r="H477" s="51"/>
      <c r="I477" s="51"/>
    </row>
    <row r="478" customFormat="false" ht="15" hidden="false" customHeight="false" outlineLevel="0" collapsed="false">
      <c r="A478" s="65"/>
      <c r="B478" s="51"/>
      <c r="C478" s="51"/>
      <c r="D478" s="72"/>
      <c r="E478" s="51"/>
      <c r="F478" s="35" t="str">
        <f aca="false">IF(OR(B478="",E478&lt;&gt;"Yes"),"",IFERROR(INDEX(Clients!$F$6:$F$25,MATCH(B478,Clients!$B$6:$B$25,0)),""))</f>
        <v/>
      </c>
      <c r="G478" s="73" t="str">
        <f aca="false">IF(AND(ISNUMBER(D478),ISNUMBER(F478)),D478*F478,"")</f>
        <v/>
      </c>
      <c r="H478" s="51"/>
      <c r="I478" s="51"/>
    </row>
    <row r="479" customFormat="false" ht="15" hidden="false" customHeight="false" outlineLevel="0" collapsed="false">
      <c r="A479" s="65"/>
      <c r="B479" s="51"/>
      <c r="C479" s="51"/>
      <c r="D479" s="72"/>
      <c r="E479" s="51"/>
      <c r="F479" s="35" t="str">
        <f aca="false">IF(OR(B479="",E479&lt;&gt;"Yes"),"",IFERROR(INDEX(Clients!$F$6:$F$25,MATCH(B479,Clients!$B$6:$B$25,0)),""))</f>
        <v/>
      </c>
      <c r="G479" s="73" t="str">
        <f aca="false">IF(AND(ISNUMBER(D479),ISNUMBER(F479)),D479*F479,"")</f>
        <v/>
      </c>
      <c r="H479" s="51"/>
      <c r="I479" s="51"/>
    </row>
    <row r="480" customFormat="false" ht="15" hidden="false" customHeight="false" outlineLevel="0" collapsed="false">
      <c r="A480" s="65"/>
      <c r="B480" s="51"/>
      <c r="C480" s="51"/>
      <c r="D480" s="72"/>
      <c r="E480" s="51"/>
      <c r="F480" s="35" t="str">
        <f aca="false">IF(OR(B480="",E480&lt;&gt;"Yes"),"",IFERROR(INDEX(Clients!$F$6:$F$25,MATCH(B480,Clients!$B$6:$B$25,0)),""))</f>
        <v/>
      </c>
      <c r="G480" s="73" t="str">
        <f aca="false">IF(AND(ISNUMBER(D480),ISNUMBER(F480)),D480*F480,"")</f>
        <v/>
      </c>
      <c r="H480" s="51"/>
      <c r="I480" s="51"/>
    </row>
    <row r="481" customFormat="false" ht="15" hidden="false" customHeight="false" outlineLevel="0" collapsed="false">
      <c r="A481" s="65"/>
      <c r="B481" s="51"/>
      <c r="C481" s="51"/>
      <c r="D481" s="72"/>
      <c r="E481" s="51"/>
      <c r="F481" s="35" t="str">
        <f aca="false">IF(OR(B481="",E481&lt;&gt;"Yes"),"",IFERROR(INDEX(Clients!$F$6:$F$25,MATCH(B481,Clients!$B$6:$B$25,0)),""))</f>
        <v/>
      </c>
      <c r="G481" s="73" t="str">
        <f aca="false">IF(AND(ISNUMBER(D481),ISNUMBER(F481)),D481*F481,"")</f>
        <v/>
      </c>
      <c r="H481" s="51"/>
      <c r="I481" s="51"/>
    </row>
    <row r="482" customFormat="false" ht="15" hidden="false" customHeight="false" outlineLevel="0" collapsed="false">
      <c r="A482" s="65"/>
      <c r="B482" s="51"/>
      <c r="C482" s="51"/>
      <c r="D482" s="72"/>
      <c r="E482" s="51"/>
      <c r="F482" s="35" t="str">
        <f aca="false">IF(OR(B482="",E482&lt;&gt;"Yes"),"",IFERROR(INDEX(Clients!$F$6:$F$25,MATCH(B482,Clients!$B$6:$B$25,0)),""))</f>
        <v/>
      </c>
      <c r="G482" s="73" t="str">
        <f aca="false">IF(AND(ISNUMBER(D482),ISNUMBER(F482)),D482*F482,"")</f>
        <v/>
      </c>
      <c r="H482" s="51"/>
      <c r="I482" s="51"/>
    </row>
    <row r="483" customFormat="false" ht="15" hidden="false" customHeight="false" outlineLevel="0" collapsed="false">
      <c r="A483" s="65"/>
      <c r="B483" s="51"/>
      <c r="C483" s="51"/>
      <c r="D483" s="72"/>
      <c r="E483" s="51"/>
      <c r="F483" s="35" t="str">
        <f aca="false">IF(OR(B483="",E483&lt;&gt;"Yes"),"",IFERROR(INDEX(Clients!$F$6:$F$25,MATCH(B483,Clients!$B$6:$B$25,0)),""))</f>
        <v/>
      </c>
      <c r="G483" s="73" t="str">
        <f aca="false">IF(AND(ISNUMBER(D483),ISNUMBER(F483)),D483*F483,"")</f>
        <v/>
      </c>
      <c r="H483" s="51"/>
      <c r="I483" s="51"/>
    </row>
    <row r="484" customFormat="false" ht="15" hidden="false" customHeight="false" outlineLevel="0" collapsed="false">
      <c r="A484" s="65"/>
      <c r="B484" s="51"/>
      <c r="C484" s="51"/>
      <c r="D484" s="72"/>
      <c r="E484" s="51"/>
      <c r="F484" s="35" t="str">
        <f aca="false">IF(OR(B484="",E484&lt;&gt;"Yes"),"",IFERROR(INDEX(Clients!$F$6:$F$25,MATCH(B484,Clients!$B$6:$B$25,0)),""))</f>
        <v/>
      </c>
      <c r="G484" s="73" t="str">
        <f aca="false">IF(AND(ISNUMBER(D484),ISNUMBER(F484)),D484*F484,"")</f>
        <v/>
      </c>
      <c r="H484" s="51"/>
      <c r="I484" s="51"/>
    </row>
    <row r="485" customFormat="false" ht="15" hidden="false" customHeight="false" outlineLevel="0" collapsed="false">
      <c r="A485" s="65"/>
      <c r="B485" s="51"/>
      <c r="C485" s="51"/>
      <c r="D485" s="72"/>
      <c r="E485" s="51"/>
      <c r="F485" s="35" t="str">
        <f aca="false">IF(OR(B485="",E485&lt;&gt;"Yes"),"",IFERROR(INDEX(Clients!$F$6:$F$25,MATCH(B485,Clients!$B$6:$B$25,0)),""))</f>
        <v/>
      </c>
      <c r="G485" s="73" t="str">
        <f aca="false">IF(AND(ISNUMBER(D485),ISNUMBER(F485)),D485*F485,"")</f>
        <v/>
      </c>
      <c r="H485" s="51"/>
      <c r="I485" s="51"/>
    </row>
    <row r="486" customFormat="false" ht="15" hidden="false" customHeight="false" outlineLevel="0" collapsed="false">
      <c r="A486" s="65"/>
      <c r="B486" s="51"/>
      <c r="C486" s="51"/>
      <c r="D486" s="72"/>
      <c r="E486" s="51"/>
      <c r="F486" s="35" t="str">
        <f aca="false">IF(OR(B486="",E486&lt;&gt;"Yes"),"",IFERROR(INDEX(Clients!$F$6:$F$25,MATCH(B486,Clients!$B$6:$B$25,0)),""))</f>
        <v/>
      </c>
      <c r="G486" s="73" t="str">
        <f aca="false">IF(AND(ISNUMBER(D486),ISNUMBER(F486)),D486*F486,"")</f>
        <v/>
      </c>
      <c r="H486" s="51"/>
      <c r="I486" s="51"/>
    </row>
    <row r="487" customFormat="false" ht="15" hidden="false" customHeight="false" outlineLevel="0" collapsed="false">
      <c r="A487" s="65"/>
      <c r="B487" s="51"/>
      <c r="C487" s="51"/>
      <c r="D487" s="72"/>
      <c r="E487" s="51"/>
      <c r="F487" s="35" t="str">
        <f aca="false">IF(OR(B487="",E487&lt;&gt;"Yes"),"",IFERROR(INDEX(Clients!$F$6:$F$25,MATCH(B487,Clients!$B$6:$B$25,0)),""))</f>
        <v/>
      </c>
      <c r="G487" s="73" t="str">
        <f aca="false">IF(AND(ISNUMBER(D487),ISNUMBER(F487)),D487*F487,"")</f>
        <v/>
      </c>
      <c r="H487" s="51"/>
      <c r="I487" s="51"/>
    </row>
    <row r="488" customFormat="false" ht="15" hidden="false" customHeight="false" outlineLevel="0" collapsed="false">
      <c r="A488" s="65"/>
      <c r="B488" s="51"/>
      <c r="C488" s="51"/>
      <c r="D488" s="72"/>
      <c r="E488" s="51"/>
      <c r="F488" s="35" t="str">
        <f aca="false">IF(OR(B488="",E488&lt;&gt;"Yes"),"",IFERROR(INDEX(Clients!$F$6:$F$25,MATCH(B488,Clients!$B$6:$B$25,0)),""))</f>
        <v/>
      </c>
      <c r="G488" s="73" t="str">
        <f aca="false">IF(AND(ISNUMBER(D488),ISNUMBER(F488)),D488*F488,"")</f>
        <v/>
      </c>
      <c r="H488" s="51"/>
      <c r="I488" s="51"/>
    </row>
    <row r="489" customFormat="false" ht="15" hidden="false" customHeight="false" outlineLevel="0" collapsed="false">
      <c r="A489" s="65"/>
      <c r="B489" s="51"/>
      <c r="C489" s="51"/>
      <c r="D489" s="72"/>
      <c r="E489" s="51"/>
      <c r="F489" s="35" t="str">
        <f aca="false">IF(OR(B489="",E489&lt;&gt;"Yes"),"",IFERROR(INDEX(Clients!$F$6:$F$25,MATCH(B489,Clients!$B$6:$B$25,0)),""))</f>
        <v/>
      </c>
      <c r="G489" s="73" t="str">
        <f aca="false">IF(AND(ISNUMBER(D489),ISNUMBER(F489)),D489*F489,"")</f>
        <v/>
      </c>
      <c r="H489" s="51"/>
      <c r="I489" s="51"/>
    </row>
    <row r="490" customFormat="false" ht="15" hidden="false" customHeight="false" outlineLevel="0" collapsed="false">
      <c r="A490" s="65"/>
      <c r="B490" s="51"/>
      <c r="C490" s="51"/>
      <c r="D490" s="72"/>
      <c r="E490" s="51"/>
      <c r="F490" s="35" t="str">
        <f aca="false">IF(OR(B490="",E490&lt;&gt;"Yes"),"",IFERROR(INDEX(Clients!$F$6:$F$25,MATCH(B490,Clients!$B$6:$B$25,0)),""))</f>
        <v/>
      </c>
      <c r="G490" s="73" t="str">
        <f aca="false">IF(AND(ISNUMBER(D490),ISNUMBER(F490)),D490*F490,"")</f>
        <v/>
      </c>
      <c r="H490" s="51"/>
      <c r="I490" s="51"/>
    </row>
    <row r="491" customFormat="false" ht="15" hidden="false" customHeight="false" outlineLevel="0" collapsed="false">
      <c r="A491" s="65"/>
      <c r="B491" s="51"/>
      <c r="C491" s="51"/>
      <c r="D491" s="72"/>
      <c r="E491" s="51"/>
      <c r="F491" s="35" t="str">
        <f aca="false">IF(OR(B491="",E491&lt;&gt;"Yes"),"",IFERROR(INDEX(Clients!$F$6:$F$25,MATCH(B491,Clients!$B$6:$B$25,0)),""))</f>
        <v/>
      </c>
      <c r="G491" s="73" t="str">
        <f aca="false">IF(AND(ISNUMBER(D491),ISNUMBER(F491)),D491*F491,"")</f>
        <v/>
      </c>
      <c r="H491" s="51"/>
      <c r="I491" s="51"/>
    </row>
    <row r="492" customFormat="false" ht="15" hidden="false" customHeight="false" outlineLevel="0" collapsed="false">
      <c r="A492" s="65"/>
      <c r="B492" s="51"/>
      <c r="C492" s="51"/>
      <c r="D492" s="72"/>
      <c r="E492" s="51"/>
      <c r="F492" s="35" t="str">
        <f aca="false">IF(OR(B492="",E492&lt;&gt;"Yes"),"",IFERROR(INDEX(Clients!$F$6:$F$25,MATCH(B492,Clients!$B$6:$B$25,0)),""))</f>
        <v/>
      </c>
      <c r="G492" s="73" t="str">
        <f aca="false">IF(AND(ISNUMBER(D492),ISNUMBER(F492)),D492*F492,"")</f>
        <v/>
      </c>
      <c r="H492" s="51"/>
      <c r="I492" s="51"/>
    </row>
    <row r="493" customFormat="false" ht="15" hidden="false" customHeight="false" outlineLevel="0" collapsed="false">
      <c r="A493" s="65"/>
      <c r="B493" s="51"/>
      <c r="C493" s="51"/>
      <c r="D493" s="72"/>
      <c r="E493" s="51"/>
      <c r="F493" s="35" t="str">
        <f aca="false">IF(OR(B493="",E493&lt;&gt;"Yes"),"",IFERROR(INDEX(Clients!$F$6:$F$25,MATCH(B493,Clients!$B$6:$B$25,0)),""))</f>
        <v/>
      </c>
      <c r="G493" s="73" t="str">
        <f aca="false">IF(AND(ISNUMBER(D493),ISNUMBER(F493)),D493*F493,"")</f>
        <v/>
      </c>
      <c r="H493" s="51"/>
      <c r="I493" s="51"/>
    </row>
    <row r="494" customFormat="false" ht="15" hidden="false" customHeight="false" outlineLevel="0" collapsed="false">
      <c r="A494" s="65"/>
      <c r="B494" s="51"/>
      <c r="C494" s="51"/>
      <c r="D494" s="72"/>
      <c r="E494" s="51"/>
      <c r="F494" s="35" t="str">
        <f aca="false">IF(OR(B494="",E494&lt;&gt;"Yes"),"",IFERROR(INDEX(Clients!$F$6:$F$25,MATCH(B494,Clients!$B$6:$B$25,0)),""))</f>
        <v/>
      </c>
      <c r="G494" s="73" t="str">
        <f aca="false">IF(AND(ISNUMBER(D494),ISNUMBER(F494)),D494*F494,"")</f>
        <v/>
      </c>
      <c r="H494" s="51"/>
      <c r="I494" s="51"/>
    </row>
    <row r="495" customFormat="false" ht="15" hidden="false" customHeight="false" outlineLevel="0" collapsed="false">
      <c r="A495" s="65"/>
      <c r="B495" s="51"/>
      <c r="C495" s="51"/>
      <c r="D495" s="72"/>
      <c r="E495" s="51"/>
      <c r="F495" s="35" t="str">
        <f aca="false">IF(OR(B495="",E495&lt;&gt;"Yes"),"",IFERROR(INDEX(Clients!$F$6:$F$25,MATCH(B495,Clients!$B$6:$B$25,0)),""))</f>
        <v/>
      </c>
      <c r="G495" s="73" t="str">
        <f aca="false">IF(AND(ISNUMBER(D495),ISNUMBER(F495)),D495*F495,"")</f>
        <v/>
      </c>
      <c r="H495" s="51"/>
      <c r="I495" s="51"/>
    </row>
    <row r="496" customFormat="false" ht="15" hidden="false" customHeight="false" outlineLevel="0" collapsed="false">
      <c r="A496" s="65"/>
      <c r="B496" s="51"/>
      <c r="C496" s="51"/>
      <c r="D496" s="72"/>
      <c r="E496" s="51"/>
      <c r="F496" s="35" t="str">
        <f aca="false">IF(OR(B496="",E496&lt;&gt;"Yes"),"",IFERROR(INDEX(Clients!$F$6:$F$25,MATCH(B496,Clients!$B$6:$B$25,0)),""))</f>
        <v/>
      </c>
      <c r="G496" s="73" t="str">
        <f aca="false">IF(AND(ISNUMBER(D496),ISNUMBER(F496)),D496*F496,"")</f>
        <v/>
      </c>
      <c r="H496" s="51"/>
      <c r="I496" s="51"/>
    </row>
    <row r="497" customFormat="false" ht="15" hidden="false" customHeight="false" outlineLevel="0" collapsed="false">
      <c r="A497" s="65"/>
      <c r="B497" s="51"/>
      <c r="C497" s="51"/>
      <c r="D497" s="72"/>
      <c r="E497" s="51"/>
      <c r="F497" s="35" t="str">
        <f aca="false">IF(OR(B497="",E497&lt;&gt;"Yes"),"",IFERROR(INDEX(Clients!$F$6:$F$25,MATCH(B497,Clients!$B$6:$B$25,0)),""))</f>
        <v/>
      </c>
      <c r="G497" s="73" t="str">
        <f aca="false">IF(AND(ISNUMBER(D497),ISNUMBER(F497)),D497*F497,"")</f>
        <v/>
      </c>
      <c r="H497" s="51"/>
      <c r="I497" s="51"/>
    </row>
    <row r="498" customFormat="false" ht="15" hidden="false" customHeight="false" outlineLevel="0" collapsed="false">
      <c r="A498" s="65"/>
      <c r="B498" s="51"/>
      <c r="C498" s="51"/>
      <c r="D498" s="72"/>
      <c r="E498" s="51"/>
      <c r="F498" s="35" t="str">
        <f aca="false">IF(OR(B498="",E498&lt;&gt;"Yes"),"",IFERROR(INDEX(Clients!$F$6:$F$25,MATCH(B498,Clients!$B$6:$B$25,0)),""))</f>
        <v/>
      </c>
      <c r="G498" s="73" t="str">
        <f aca="false">IF(AND(ISNUMBER(D498),ISNUMBER(F498)),D498*F498,"")</f>
        <v/>
      </c>
      <c r="H498" s="51"/>
      <c r="I498" s="51"/>
    </row>
    <row r="499" customFormat="false" ht="15" hidden="false" customHeight="false" outlineLevel="0" collapsed="false">
      <c r="A499" s="65"/>
      <c r="B499" s="51"/>
      <c r="C499" s="51"/>
      <c r="D499" s="72"/>
      <c r="E499" s="51"/>
      <c r="F499" s="35" t="str">
        <f aca="false">IF(OR(B499="",E499&lt;&gt;"Yes"),"",IFERROR(INDEX(Clients!$F$6:$F$25,MATCH(B499,Clients!$B$6:$B$25,0)),""))</f>
        <v/>
      </c>
      <c r="G499" s="73" t="str">
        <f aca="false">IF(AND(ISNUMBER(D499),ISNUMBER(F499)),D499*F499,"")</f>
        <v/>
      </c>
      <c r="H499" s="51"/>
      <c r="I499" s="51"/>
    </row>
    <row r="500" customFormat="false" ht="15" hidden="false" customHeight="false" outlineLevel="0" collapsed="false">
      <c r="A500" s="65"/>
      <c r="B500" s="51"/>
      <c r="C500" s="51"/>
      <c r="D500" s="72"/>
      <c r="E500" s="51"/>
      <c r="F500" s="35" t="str">
        <f aca="false">IF(OR(B500="",E500&lt;&gt;"Yes"),"",IFERROR(INDEX(Clients!$F$6:$F$25,MATCH(B500,Clients!$B$6:$B$25,0)),""))</f>
        <v/>
      </c>
      <c r="G500" s="73" t="str">
        <f aca="false">IF(AND(ISNUMBER(D500),ISNUMBER(F500)),D500*F500,"")</f>
        <v/>
      </c>
      <c r="H500" s="51"/>
      <c r="I500" s="51"/>
    </row>
    <row r="501" customFormat="false" ht="15" hidden="false" customHeight="false" outlineLevel="0" collapsed="false">
      <c r="A501" s="65"/>
      <c r="B501" s="51"/>
      <c r="C501" s="51"/>
      <c r="D501" s="72"/>
      <c r="E501" s="51"/>
      <c r="F501" s="35" t="str">
        <f aca="false">IF(OR(B501="",E501&lt;&gt;"Yes"),"",IFERROR(INDEX(Clients!$F$6:$F$25,MATCH(B501,Clients!$B$6:$B$25,0)),""))</f>
        <v/>
      </c>
      <c r="G501" s="73" t="str">
        <f aca="false">IF(AND(ISNUMBER(D501),ISNUMBER(F501)),D501*F501,"")</f>
        <v/>
      </c>
      <c r="H501" s="51"/>
      <c r="I501" s="51"/>
    </row>
    <row r="502" customFormat="false" ht="15" hidden="false" customHeight="false" outlineLevel="0" collapsed="false">
      <c r="A502" s="65"/>
      <c r="B502" s="51"/>
      <c r="C502" s="51"/>
      <c r="D502" s="72"/>
      <c r="E502" s="51"/>
      <c r="F502" s="35" t="str">
        <f aca="false">IF(OR(B502="",E502&lt;&gt;"Yes"),"",IFERROR(INDEX(Clients!$F$6:$F$25,MATCH(B502,Clients!$B$6:$B$25,0)),""))</f>
        <v/>
      </c>
      <c r="G502" s="73" t="str">
        <f aca="false">IF(AND(ISNUMBER(D502),ISNUMBER(F502)),D502*F502,"")</f>
        <v/>
      </c>
      <c r="H502" s="51"/>
      <c r="I502" s="51"/>
    </row>
    <row r="503" customFormat="false" ht="15" hidden="false" customHeight="false" outlineLevel="0" collapsed="false">
      <c r="A503" s="65"/>
      <c r="B503" s="51"/>
      <c r="C503" s="51"/>
      <c r="D503" s="72"/>
      <c r="E503" s="51"/>
      <c r="F503" s="35" t="str">
        <f aca="false">IF(OR(B503="",E503&lt;&gt;"Yes"),"",IFERROR(INDEX(Clients!$F$6:$F$25,MATCH(B503,Clients!$B$6:$B$25,0)),""))</f>
        <v/>
      </c>
      <c r="G503" s="73" t="str">
        <f aca="false">IF(AND(ISNUMBER(D503),ISNUMBER(F503)),D503*F503,"")</f>
        <v/>
      </c>
      <c r="H503" s="51"/>
      <c r="I503" s="51"/>
    </row>
    <row r="504" customFormat="false" ht="15" hidden="false" customHeight="false" outlineLevel="0" collapsed="false">
      <c r="A504" s="65"/>
      <c r="B504" s="51"/>
      <c r="C504" s="51"/>
      <c r="D504" s="72"/>
      <c r="E504" s="51"/>
      <c r="F504" s="35" t="str">
        <f aca="false">IF(OR(B504="",E504&lt;&gt;"Yes"),"",IFERROR(INDEX(Clients!$F$6:$F$25,MATCH(B504,Clients!$B$6:$B$25,0)),""))</f>
        <v/>
      </c>
      <c r="G504" s="73" t="str">
        <f aca="false">IF(AND(ISNUMBER(D504),ISNUMBER(F504)),D504*F504,"")</f>
        <v/>
      </c>
      <c r="H504" s="51"/>
      <c r="I504" s="51"/>
    </row>
    <row r="505" customFormat="false" ht="15" hidden="false" customHeight="false" outlineLevel="0" collapsed="false">
      <c r="A505" s="65"/>
      <c r="B505" s="51"/>
      <c r="C505" s="51"/>
      <c r="D505" s="72"/>
      <c r="E505" s="51"/>
      <c r="F505" s="35" t="str">
        <f aca="false">IF(OR(B505="",E505&lt;&gt;"Yes"),"",IFERROR(INDEX(Clients!$F$6:$F$25,MATCH(B505,Clients!$B$6:$B$25,0)),""))</f>
        <v/>
      </c>
      <c r="G505" s="73" t="str">
        <f aca="false">IF(AND(ISNUMBER(D505),ISNUMBER(F505)),D505*F505,"")</f>
        <v/>
      </c>
      <c r="H505" s="51"/>
      <c r="I505" s="51"/>
    </row>
    <row r="506" customFormat="false" ht="15" hidden="false" customHeight="false" outlineLevel="0" collapsed="false">
      <c r="A506" s="65"/>
      <c r="B506" s="51"/>
      <c r="C506" s="51"/>
      <c r="D506" s="72"/>
      <c r="E506" s="51"/>
      <c r="F506" s="35" t="str">
        <f aca="false">IF(OR(B506="",E506&lt;&gt;"Yes"),"",IFERROR(INDEX(Clients!$F$6:$F$25,MATCH(B506,Clients!$B$6:$B$25,0)),""))</f>
        <v/>
      </c>
      <c r="G506" s="73" t="str">
        <f aca="false">IF(AND(ISNUMBER(D506),ISNUMBER(F506)),D506*F506,"")</f>
        <v/>
      </c>
      <c r="H506" s="51"/>
      <c r="I506" s="51"/>
    </row>
    <row r="507" customFormat="false" ht="15" hidden="false" customHeight="false" outlineLevel="0" collapsed="false">
      <c r="A507" s="65"/>
      <c r="B507" s="51"/>
      <c r="C507" s="51"/>
      <c r="D507" s="72"/>
      <c r="E507" s="51"/>
      <c r="F507" s="35" t="str">
        <f aca="false">IF(OR(B507="",E507&lt;&gt;"Yes"),"",IFERROR(INDEX(Clients!$F$6:$F$25,MATCH(B507,Clients!$B$6:$B$25,0)),""))</f>
        <v/>
      </c>
      <c r="G507" s="73" t="str">
        <f aca="false">IF(AND(ISNUMBER(D507),ISNUMBER(F507)),D507*F507,"")</f>
        <v/>
      </c>
      <c r="H507" s="51"/>
      <c r="I507" s="51"/>
    </row>
    <row r="508" customFormat="false" ht="15" hidden="false" customHeight="false" outlineLevel="0" collapsed="false">
      <c r="A508" s="65"/>
      <c r="B508" s="51"/>
      <c r="C508" s="51"/>
      <c r="D508" s="72"/>
      <c r="E508" s="51"/>
      <c r="F508" s="35" t="str">
        <f aca="false">IF(OR(B508="",E508&lt;&gt;"Yes"),"",IFERROR(INDEX(Clients!$F$6:$F$25,MATCH(B508,Clients!$B$6:$B$25,0)),""))</f>
        <v/>
      </c>
      <c r="G508" s="73" t="str">
        <f aca="false">IF(AND(ISNUMBER(D508),ISNUMBER(F508)),D508*F508,"")</f>
        <v/>
      </c>
      <c r="H508" s="51"/>
      <c r="I508" s="51"/>
    </row>
    <row r="509" customFormat="false" ht="15" hidden="false" customHeight="false" outlineLevel="0" collapsed="false">
      <c r="A509" s="65"/>
      <c r="B509" s="51"/>
      <c r="C509" s="51"/>
      <c r="D509" s="72"/>
      <c r="E509" s="51"/>
      <c r="F509" s="35" t="str">
        <f aca="false">IF(OR(B509="",E509&lt;&gt;"Yes"),"",IFERROR(INDEX(Clients!$F$6:$F$25,MATCH(B509,Clients!$B$6:$B$25,0)),""))</f>
        <v/>
      </c>
      <c r="G509" s="73" t="str">
        <f aca="false">IF(AND(ISNUMBER(D509),ISNUMBER(F509)),D509*F509,"")</f>
        <v/>
      </c>
      <c r="H509" s="51"/>
      <c r="I509" s="51"/>
    </row>
    <row r="510" customFormat="false" ht="15" hidden="false" customHeight="false" outlineLevel="0" collapsed="false">
      <c r="A510" s="65"/>
      <c r="B510" s="51"/>
      <c r="C510" s="51"/>
      <c r="D510" s="72"/>
      <c r="E510" s="51"/>
      <c r="F510" s="35" t="str">
        <f aca="false">IF(OR(B510="",E510&lt;&gt;"Yes"),"",IFERROR(INDEX(Clients!$F$6:$F$25,MATCH(B510,Clients!$B$6:$B$25,0)),""))</f>
        <v/>
      </c>
      <c r="G510" s="73" t="str">
        <f aca="false">IF(AND(ISNUMBER(D510),ISNUMBER(F510)),D510*F510,"")</f>
        <v/>
      </c>
      <c r="H510" s="51"/>
      <c r="I510" s="51"/>
    </row>
    <row r="511" customFormat="false" ht="15" hidden="false" customHeight="false" outlineLevel="0" collapsed="false">
      <c r="A511" s="65"/>
      <c r="B511" s="51"/>
      <c r="C511" s="51"/>
      <c r="D511" s="72"/>
      <c r="E511" s="51"/>
      <c r="F511" s="35" t="str">
        <f aca="false">IF(OR(B511="",E511&lt;&gt;"Yes"),"",IFERROR(INDEX(Clients!$F$6:$F$25,MATCH(B511,Clients!$B$6:$B$25,0)),""))</f>
        <v/>
      </c>
      <c r="G511" s="73" t="str">
        <f aca="false">IF(AND(ISNUMBER(D511),ISNUMBER(F511)),D511*F511,"")</f>
        <v/>
      </c>
      <c r="H511" s="51"/>
      <c r="I511" s="51"/>
    </row>
    <row r="512" customFormat="false" ht="15" hidden="false" customHeight="false" outlineLevel="0" collapsed="false">
      <c r="A512" s="65"/>
      <c r="B512" s="51"/>
      <c r="C512" s="51"/>
      <c r="D512" s="72"/>
      <c r="E512" s="51"/>
      <c r="F512" s="35" t="str">
        <f aca="false">IF(OR(B512="",E512&lt;&gt;"Yes"),"",IFERROR(INDEX(Clients!$F$6:$F$25,MATCH(B512,Clients!$B$6:$B$25,0)),""))</f>
        <v/>
      </c>
      <c r="G512" s="73" t="str">
        <f aca="false">IF(AND(ISNUMBER(D512),ISNUMBER(F512)),D512*F512,"")</f>
        <v/>
      </c>
      <c r="H512" s="51"/>
      <c r="I512" s="51"/>
    </row>
    <row r="513" customFormat="false" ht="15" hidden="false" customHeight="false" outlineLevel="0" collapsed="false">
      <c r="A513" s="65"/>
      <c r="B513" s="51"/>
      <c r="C513" s="51"/>
      <c r="D513" s="72"/>
      <c r="E513" s="51"/>
      <c r="F513" s="35" t="str">
        <f aca="false">IF(OR(B513="",E513&lt;&gt;"Yes"),"",IFERROR(INDEX(Clients!$F$6:$F$25,MATCH(B513,Clients!$B$6:$B$25,0)),""))</f>
        <v/>
      </c>
      <c r="G513" s="73" t="str">
        <f aca="false">IF(AND(ISNUMBER(D513),ISNUMBER(F513)),D513*F513,"")</f>
        <v/>
      </c>
      <c r="H513" s="51"/>
      <c r="I513" s="51"/>
    </row>
    <row r="514" customFormat="false" ht="15" hidden="false" customHeight="false" outlineLevel="0" collapsed="false">
      <c r="A514" s="65"/>
      <c r="B514" s="51"/>
      <c r="C514" s="51"/>
      <c r="D514" s="72"/>
      <c r="E514" s="51"/>
      <c r="F514" s="35" t="str">
        <f aca="false">IF(OR(B514="",E514&lt;&gt;"Yes"),"",IFERROR(INDEX(Clients!$F$6:$F$25,MATCH(B514,Clients!$B$6:$B$25,0)),""))</f>
        <v/>
      </c>
      <c r="G514" s="73" t="str">
        <f aca="false">IF(AND(ISNUMBER(D514),ISNUMBER(F514)),D514*F514,"")</f>
        <v/>
      </c>
      <c r="H514" s="51"/>
      <c r="I514" s="51"/>
    </row>
    <row r="515" customFormat="false" ht="15" hidden="false" customHeight="false" outlineLevel="0" collapsed="false">
      <c r="A515" s="65"/>
      <c r="B515" s="51"/>
      <c r="C515" s="51"/>
      <c r="D515" s="72"/>
      <c r="E515" s="51"/>
      <c r="F515" s="35" t="str">
        <f aca="false">IF(OR(B515="",E515&lt;&gt;"Yes"),"",IFERROR(INDEX(Clients!$F$6:$F$25,MATCH(B515,Clients!$B$6:$B$25,0)),""))</f>
        <v/>
      </c>
      <c r="G515" s="73" t="str">
        <f aca="false">IF(AND(ISNUMBER(D515),ISNUMBER(F515)),D515*F515,"")</f>
        <v/>
      </c>
      <c r="H515" s="51"/>
      <c r="I515" s="51"/>
    </row>
    <row r="516" customFormat="false" ht="15" hidden="false" customHeight="false" outlineLevel="0" collapsed="false">
      <c r="A516" s="65"/>
      <c r="B516" s="51"/>
      <c r="C516" s="51"/>
      <c r="D516" s="72"/>
      <c r="E516" s="51"/>
      <c r="F516" s="35" t="str">
        <f aca="false">IF(OR(B516="",E516&lt;&gt;"Yes"),"",IFERROR(INDEX(Clients!$F$6:$F$25,MATCH(B516,Clients!$B$6:$B$25,0)),""))</f>
        <v/>
      </c>
      <c r="G516" s="73" t="str">
        <f aca="false">IF(AND(ISNUMBER(D516),ISNUMBER(F516)),D516*F516,"")</f>
        <v/>
      </c>
      <c r="H516" s="51"/>
      <c r="I516" s="51"/>
    </row>
    <row r="517" customFormat="false" ht="15" hidden="false" customHeight="false" outlineLevel="0" collapsed="false">
      <c r="A517" s="65"/>
      <c r="B517" s="51"/>
      <c r="C517" s="51"/>
      <c r="D517" s="72"/>
      <c r="E517" s="51"/>
      <c r="F517" s="35" t="str">
        <f aca="false">IF(OR(B517="",E517&lt;&gt;"Yes"),"",IFERROR(INDEX(Clients!$F$6:$F$25,MATCH(B517,Clients!$B$6:$B$25,0)),""))</f>
        <v/>
      </c>
      <c r="G517" s="73" t="str">
        <f aca="false">IF(AND(ISNUMBER(D517),ISNUMBER(F517)),D517*F517,"")</f>
        <v/>
      </c>
      <c r="H517" s="51"/>
      <c r="I517" s="51"/>
    </row>
    <row r="518" customFormat="false" ht="15" hidden="false" customHeight="false" outlineLevel="0" collapsed="false">
      <c r="A518" s="65"/>
      <c r="B518" s="51"/>
      <c r="C518" s="51"/>
      <c r="D518" s="72"/>
      <c r="E518" s="51"/>
      <c r="F518" s="35" t="str">
        <f aca="false">IF(OR(B518="",E518&lt;&gt;"Yes"),"",IFERROR(INDEX(Clients!$F$6:$F$25,MATCH(B518,Clients!$B$6:$B$25,0)),""))</f>
        <v/>
      </c>
      <c r="G518" s="73" t="str">
        <f aca="false">IF(AND(ISNUMBER(D518),ISNUMBER(F518)),D518*F518,"")</f>
        <v/>
      </c>
      <c r="H518" s="51"/>
      <c r="I518" s="51"/>
    </row>
    <row r="519" customFormat="false" ht="15" hidden="false" customHeight="false" outlineLevel="0" collapsed="false">
      <c r="A519" s="65"/>
      <c r="B519" s="51"/>
      <c r="C519" s="51"/>
      <c r="D519" s="72"/>
      <c r="E519" s="51"/>
      <c r="F519" s="35" t="str">
        <f aca="false">IF(OR(B519="",E519&lt;&gt;"Yes"),"",IFERROR(INDEX(Clients!$F$6:$F$25,MATCH(B519,Clients!$B$6:$B$25,0)),""))</f>
        <v/>
      </c>
      <c r="G519" s="73" t="str">
        <f aca="false">IF(AND(ISNUMBER(D519),ISNUMBER(F519)),D519*F519,"")</f>
        <v/>
      </c>
      <c r="H519" s="51"/>
      <c r="I519" s="51"/>
    </row>
    <row r="520" customFormat="false" ht="15" hidden="false" customHeight="false" outlineLevel="0" collapsed="false">
      <c r="A520" s="65"/>
      <c r="B520" s="51"/>
      <c r="C520" s="51"/>
      <c r="D520" s="72"/>
      <c r="E520" s="51"/>
      <c r="F520" s="35" t="str">
        <f aca="false">IF(OR(B520="",E520&lt;&gt;"Yes"),"",IFERROR(INDEX(Clients!$F$6:$F$25,MATCH(B520,Clients!$B$6:$B$25,0)),""))</f>
        <v/>
      </c>
      <c r="G520" s="73" t="str">
        <f aca="false">IF(AND(ISNUMBER(D520),ISNUMBER(F520)),D520*F520,"")</f>
        <v/>
      </c>
      <c r="H520" s="51"/>
      <c r="I520" s="51"/>
    </row>
    <row r="521" customFormat="false" ht="15" hidden="false" customHeight="false" outlineLevel="0" collapsed="false">
      <c r="A521" s="65"/>
      <c r="B521" s="51"/>
      <c r="C521" s="51"/>
      <c r="D521" s="72"/>
      <c r="E521" s="51"/>
      <c r="F521" s="35" t="str">
        <f aca="false">IF(OR(B521="",E521&lt;&gt;"Yes"),"",IFERROR(INDEX(Clients!$F$6:$F$25,MATCH(B521,Clients!$B$6:$B$25,0)),""))</f>
        <v/>
      </c>
      <c r="G521" s="73" t="str">
        <f aca="false">IF(AND(ISNUMBER(D521),ISNUMBER(F521)),D521*F521,"")</f>
        <v/>
      </c>
      <c r="H521" s="51"/>
      <c r="I521" s="51"/>
    </row>
    <row r="522" customFormat="false" ht="15" hidden="false" customHeight="false" outlineLevel="0" collapsed="false">
      <c r="A522" s="65"/>
      <c r="B522" s="51"/>
      <c r="C522" s="51"/>
      <c r="D522" s="72"/>
      <c r="E522" s="51"/>
      <c r="F522" s="35" t="str">
        <f aca="false">IF(OR(B522="",E522&lt;&gt;"Yes"),"",IFERROR(INDEX(Clients!$F$6:$F$25,MATCH(B522,Clients!$B$6:$B$25,0)),""))</f>
        <v/>
      </c>
      <c r="G522" s="73" t="str">
        <f aca="false">IF(AND(ISNUMBER(D522),ISNUMBER(F522)),D522*F522,"")</f>
        <v/>
      </c>
      <c r="H522" s="51"/>
      <c r="I522" s="51"/>
    </row>
    <row r="523" customFormat="false" ht="15" hidden="false" customHeight="false" outlineLevel="0" collapsed="false">
      <c r="A523" s="65"/>
      <c r="B523" s="51"/>
      <c r="C523" s="51"/>
      <c r="D523" s="72"/>
      <c r="E523" s="51"/>
      <c r="F523" s="35" t="str">
        <f aca="false">IF(OR(B523="",E523&lt;&gt;"Yes"),"",IFERROR(INDEX(Clients!$F$6:$F$25,MATCH(B523,Clients!$B$6:$B$25,0)),""))</f>
        <v/>
      </c>
      <c r="G523" s="73" t="str">
        <f aca="false">IF(AND(ISNUMBER(D523),ISNUMBER(F523)),D523*F523,"")</f>
        <v/>
      </c>
      <c r="H523" s="51"/>
      <c r="I523" s="51"/>
    </row>
    <row r="524" customFormat="false" ht="15" hidden="false" customHeight="false" outlineLevel="0" collapsed="false">
      <c r="A524" s="65"/>
      <c r="B524" s="51"/>
      <c r="C524" s="51"/>
      <c r="D524" s="72"/>
      <c r="E524" s="51"/>
      <c r="F524" s="35" t="str">
        <f aca="false">IF(OR(B524="",E524&lt;&gt;"Yes"),"",IFERROR(INDEX(Clients!$F$6:$F$25,MATCH(B524,Clients!$B$6:$B$25,0)),""))</f>
        <v/>
      </c>
      <c r="G524" s="73" t="str">
        <f aca="false">IF(AND(ISNUMBER(D524),ISNUMBER(F524)),D524*F524,"")</f>
        <v/>
      </c>
      <c r="H524" s="51"/>
      <c r="I524" s="51"/>
    </row>
    <row r="525" customFormat="false" ht="15" hidden="false" customHeight="false" outlineLevel="0" collapsed="false">
      <c r="A525" s="65"/>
      <c r="B525" s="51"/>
      <c r="C525" s="51"/>
      <c r="D525" s="72"/>
      <c r="E525" s="51"/>
      <c r="F525" s="35" t="str">
        <f aca="false">IF(OR(B525="",E525&lt;&gt;"Yes"),"",IFERROR(INDEX(Clients!$F$6:$F$25,MATCH(B525,Clients!$B$6:$B$25,0)),""))</f>
        <v/>
      </c>
      <c r="G525" s="73" t="str">
        <f aca="false">IF(AND(ISNUMBER(D525),ISNUMBER(F525)),D525*F525,"")</f>
        <v/>
      </c>
      <c r="H525" s="51"/>
      <c r="I525" s="51"/>
    </row>
    <row r="526" customFormat="false" ht="15" hidden="false" customHeight="false" outlineLevel="0" collapsed="false">
      <c r="A526" s="65"/>
      <c r="B526" s="51"/>
      <c r="C526" s="51"/>
      <c r="D526" s="72"/>
      <c r="E526" s="51"/>
      <c r="F526" s="35" t="str">
        <f aca="false">IF(OR(B526="",E526&lt;&gt;"Yes"),"",IFERROR(INDEX(Clients!$F$6:$F$25,MATCH(B526,Clients!$B$6:$B$25,0)),""))</f>
        <v/>
      </c>
      <c r="G526" s="73" t="str">
        <f aca="false">IF(AND(ISNUMBER(D526),ISNUMBER(F526)),D526*F526,"")</f>
        <v/>
      </c>
      <c r="H526" s="51"/>
      <c r="I526" s="51"/>
    </row>
    <row r="527" customFormat="false" ht="15" hidden="false" customHeight="false" outlineLevel="0" collapsed="false">
      <c r="A527" s="65"/>
      <c r="B527" s="51"/>
      <c r="C527" s="51"/>
      <c r="D527" s="72"/>
      <c r="E527" s="51"/>
      <c r="F527" s="35" t="str">
        <f aca="false">IF(OR(B527="",E527&lt;&gt;"Yes"),"",IFERROR(INDEX(Clients!$F$6:$F$25,MATCH(B527,Clients!$B$6:$B$25,0)),""))</f>
        <v/>
      </c>
      <c r="G527" s="73" t="str">
        <f aca="false">IF(AND(ISNUMBER(D527),ISNUMBER(F527)),D527*F527,"")</f>
        <v/>
      </c>
      <c r="H527" s="51"/>
      <c r="I527" s="51"/>
    </row>
    <row r="528" customFormat="false" ht="15" hidden="false" customHeight="false" outlineLevel="0" collapsed="false">
      <c r="A528" s="65"/>
      <c r="B528" s="51"/>
      <c r="C528" s="51"/>
      <c r="D528" s="72"/>
      <c r="E528" s="51"/>
      <c r="F528" s="35" t="str">
        <f aca="false">IF(OR(B528="",E528&lt;&gt;"Yes"),"",IFERROR(INDEX(Clients!$F$6:$F$25,MATCH(B528,Clients!$B$6:$B$25,0)),""))</f>
        <v/>
      </c>
      <c r="G528" s="73" t="str">
        <f aca="false">IF(AND(ISNUMBER(D528),ISNUMBER(F528)),D528*F528,"")</f>
        <v/>
      </c>
      <c r="H528" s="51"/>
      <c r="I528" s="51"/>
    </row>
    <row r="529" customFormat="false" ht="15" hidden="false" customHeight="false" outlineLevel="0" collapsed="false">
      <c r="A529" s="65"/>
      <c r="B529" s="51"/>
      <c r="C529" s="51"/>
      <c r="D529" s="72"/>
      <c r="E529" s="51"/>
      <c r="F529" s="35" t="str">
        <f aca="false">IF(OR(B529="",E529&lt;&gt;"Yes"),"",IFERROR(INDEX(Clients!$F$6:$F$25,MATCH(B529,Clients!$B$6:$B$25,0)),""))</f>
        <v/>
      </c>
      <c r="G529" s="73" t="str">
        <f aca="false">IF(AND(ISNUMBER(D529),ISNUMBER(F529)),D529*F529,"")</f>
        <v/>
      </c>
      <c r="H529" s="51"/>
      <c r="I529" s="51"/>
    </row>
    <row r="530" customFormat="false" ht="15" hidden="false" customHeight="false" outlineLevel="0" collapsed="false">
      <c r="A530" s="65"/>
      <c r="B530" s="51"/>
      <c r="C530" s="51"/>
      <c r="D530" s="72"/>
      <c r="E530" s="51"/>
      <c r="F530" s="35" t="str">
        <f aca="false">IF(OR(B530="",E530&lt;&gt;"Yes"),"",IFERROR(INDEX(Clients!$F$6:$F$25,MATCH(B530,Clients!$B$6:$B$25,0)),""))</f>
        <v/>
      </c>
      <c r="G530" s="73" t="str">
        <f aca="false">IF(AND(ISNUMBER(D530),ISNUMBER(F530)),D530*F530,"")</f>
        <v/>
      </c>
      <c r="H530" s="51"/>
      <c r="I530" s="51"/>
    </row>
    <row r="531" customFormat="false" ht="15" hidden="false" customHeight="false" outlineLevel="0" collapsed="false">
      <c r="A531" s="65"/>
      <c r="B531" s="51"/>
      <c r="C531" s="51"/>
      <c r="D531" s="72"/>
      <c r="E531" s="51"/>
      <c r="F531" s="35" t="str">
        <f aca="false">IF(OR(B531="",E531&lt;&gt;"Yes"),"",IFERROR(INDEX(Clients!$F$6:$F$25,MATCH(B531,Clients!$B$6:$B$25,0)),""))</f>
        <v/>
      </c>
      <c r="G531" s="73" t="str">
        <f aca="false">IF(AND(ISNUMBER(D531),ISNUMBER(F531)),D531*F531,"")</f>
        <v/>
      </c>
      <c r="H531" s="51"/>
      <c r="I531" s="51"/>
    </row>
    <row r="532" customFormat="false" ht="15" hidden="false" customHeight="false" outlineLevel="0" collapsed="false">
      <c r="A532" s="65"/>
      <c r="B532" s="51"/>
      <c r="C532" s="51"/>
      <c r="D532" s="72"/>
      <c r="E532" s="51"/>
      <c r="F532" s="35" t="str">
        <f aca="false">IF(OR(B532="",E532&lt;&gt;"Yes"),"",IFERROR(INDEX(Clients!$F$6:$F$25,MATCH(B532,Clients!$B$6:$B$25,0)),""))</f>
        <v/>
      </c>
      <c r="G532" s="73" t="str">
        <f aca="false">IF(AND(ISNUMBER(D532),ISNUMBER(F532)),D532*F532,"")</f>
        <v/>
      </c>
      <c r="H532" s="51"/>
      <c r="I532" s="51"/>
    </row>
    <row r="533" customFormat="false" ht="15" hidden="false" customHeight="false" outlineLevel="0" collapsed="false">
      <c r="A533" s="65"/>
      <c r="B533" s="51"/>
      <c r="C533" s="51"/>
      <c r="D533" s="72"/>
      <c r="E533" s="51"/>
      <c r="F533" s="35" t="str">
        <f aca="false">IF(OR(B533="",E533&lt;&gt;"Yes"),"",IFERROR(INDEX(Clients!$F$6:$F$25,MATCH(B533,Clients!$B$6:$B$25,0)),""))</f>
        <v/>
      </c>
      <c r="G533" s="73" t="str">
        <f aca="false">IF(AND(ISNUMBER(D533),ISNUMBER(F533)),D533*F533,"")</f>
        <v/>
      </c>
      <c r="H533" s="51"/>
      <c r="I533" s="51"/>
    </row>
    <row r="534" customFormat="false" ht="15" hidden="false" customHeight="false" outlineLevel="0" collapsed="false">
      <c r="A534" s="65"/>
      <c r="B534" s="51"/>
      <c r="C534" s="51"/>
      <c r="D534" s="72"/>
      <c r="E534" s="51"/>
      <c r="F534" s="35" t="str">
        <f aca="false">IF(OR(B534="",E534&lt;&gt;"Yes"),"",IFERROR(INDEX(Clients!$F$6:$F$25,MATCH(B534,Clients!$B$6:$B$25,0)),""))</f>
        <v/>
      </c>
      <c r="G534" s="73" t="str">
        <f aca="false">IF(AND(ISNUMBER(D534),ISNUMBER(F534)),D534*F534,"")</f>
        <v/>
      </c>
      <c r="H534" s="51"/>
      <c r="I534" s="51"/>
    </row>
    <row r="535" customFormat="false" ht="15" hidden="false" customHeight="false" outlineLevel="0" collapsed="false">
      <c r="A535" s="65"/>
      <c r="B535" s="51"/>
      <c r="C535" s="51"/>
      <c r="D535" s="72"/>
      <c r="E535" s="51"/>
      <c r="F535" s="35" t="str">
        <f aca="false">IF(OR(B535="",E535&lt;&gt;"Yes"),"",IFERROR(INDEX(Clients!$F$6:$F$25,MATCH(B535,Clients!$B$6:$B$25,0)),""))</f>
        <v/>
      </c>
      <c r="G535" s="73" t="str">
        <f aca="false">IF(AND(ISNUMBER(D535),ISNUMBER(F535)),D535*F535,"")</f>
        <v/>
      </c>
      <c r="H535" s="51"/>
      <c r="I535" s="51"/>
    </row>
    <row r="536" customFormat="false" ht="15" hidden="false" customHeight="false" outlineLevel="0" collapsed="false">
      <c r="A536" s="65"/>
      <c r="B536" s="51"/>
      <c r="C536" s="51"/>
      <c r="D536" s="72"/>
      <c r="E536" s="51"/>
      <c r="F536" s="35" t="str">
        <f aca="false">IF(OR(B536="",E536&lt;&gt;"Yes"),"",IFERROR(INDEX(Clients!$F$6:$F$25,MATCH(B536,Clients!$B$6:$B$25,0)),""))</f>
        <v/>
      </c>
      <c r="G536" s="73" t="str">
        <f aca="false">IF(AND(ISNUMBER(D536),ISNUMBER(F536)),D536*F536,"")</f>
        <v/>
      </c>
      <c r="H536" s="51"/>
      <c r="I536" s="51"/>
    </row>
    <row r="537" customFormat="false" ht="15" hidden="false" customHeight="false" outlineLevel="0" collapsed="false">
      <c r="A537" s="65"/>
      <c r="B537" s="51"/>
      <c r="C537" s="51"/>
      <c r="D537" s="72"/>
      <c r="E537" s="51"/>
      <c r="F537" s="35" t="str">
        <f aca="false">IF(OR(B537="",E537&lt;&gt;"Yes"),"",IFERROR(INDEX(Clients!$F$6:$F$25,MATCH(B537,Clients!$B$6:$B$25,0)),""))</f>
        <v/>
      </c>
      <c r="G537" s="73" t="str">
        <f aca="false">IF(AND(ISNUMBER(D537),ISNUMBER(F537)),D537*F537,"")</f>
        <v/>
      </c>
      <c r="H537" s="51"/>
      <c r="I537" s="51"/>
    </row>
    <row r="538" customFormat="false" ht="15" hidden="false" customHeight="false" outlineLevel="0" collapsed="false">
      <c r="A538" s="65"/>
      <c r="B538" s="51"/>
      <c r="C538" s="51"/>
      <c r="D538" s="72"/>
      <c r="E538" s="51"/>
      <c r="F538" s="35" t="str">
        <f aca="false">IF(OR(B538="",E538&lt;&gt;"Yes"),"",IFERROR(INDEX(Clients!$F$6:$F$25,MATCH(B538,Clients!$B$6:$B$25,0)),""))</f>
        <v/>
      </c>
      <c r="G538" s="73" t="str">
        <f aca="false">IF(AND(ISNUMBER(D538),ISNUMBER(F538)),D538*F538,"")</f>
        <v/>
      </c>
      <c r="H538" s="51"/>
      <c r="I538" s="51"/>
    </row>
    <row r="539" customFormat="false" ht="15" hidden="false" customHeight="false" outlineLevel="0" collapsed="false">
      <c r="A539" s="65"/>
      <c r="B539" s="51"/>
      <c r="C539" s="51"/>
      <c r="D539" s="72"/>
      <c r="E539" s="51"/>
      <c r="F539" s="35" t="str">
        <f aca="false">IF(OR(B539="",E539&lt;&gt;"Yes"),"",IFERROR(INDEX(Clients!$F$6:$F$25,MATCH(B539,Clients!$B$6:$B$25,0)),""))</f>
        <v/>
      </c>
      <c r="G539" s="73" t="str">
        <f aca="false">IF(AND(ISNUMBER(D539),ISNUMBER(F539)),D539*F539,"")</f>
        <v/>
      </c>
      <c r="H539" s="51"/>
      <c r="I539" s="51"/>
    </row>
    <row r="540" customFormat="false" ht="15" hidden="false" customHeight="false" outlineLevel="0" collapsed="false">
      <c r="A540" s="65"/>
      <c r="B540" s="51"/>
      <c r="C540" s="51"/>
      <c r="D540" s="72"/>
      <c r="E540" s="51"/>
      <c r="F540" s="35" t="str">
        <f aca="false">IF(OR(B540="",E540&lt;&gt;"Yes"),"",IFERROR(INDEX(Clients!$F$6:$F$25,MATCH(B540,Clients!$B$6:$B$25,0)),""))</f>
        <v/>
      </c>
      <c r="G540" s="73" t="str">
        <f aca="false">IF(AND(ISNUMBER(D540),ISNUMBER(F540)),D540*F540,"")</f>
        <v/>
      </c>
      <c r="H540" s="51"/>
      <c r="I540" s="51"/>
    </row>
    <row r="541" customFormat="false" ht="15" hidden="false" customHeight="false" outlineLevel="0" collapsed="false">
      <c r="A541" s="65"/>
      <c r="B541" s="51"/>
      <c r="C541" s="51"/>
      <c r="D541" s="72"/>
      <c r="E541" s="51"/>
      <c r="F541" s="35" t="str">
        <f aca="false">IF(OR(B541="",E541&lt;&gt;"Yes"),"",IFERROR(INDEX(Clients!$F$6:$F$25,MATCH(B541,Clients!$B$6:$B$25,0)),""))</f>
        <v/>
      </c>
      <c r="G541" s="73" t="str">
        <f aca="false">IF(AND(ISNUMBER(D541),ISNUMBER(F541)),D541*F541,"")</f>
        <v/>
      </c>
      <c r="H541" s="51"/>
      <c r="I541" s="51"/>
    </row>
    <row r="542" customFormat="false" ht="15" hidden="false" customHeight="false" outlineLevel="0" collapsed="false">
      <c r="A542" s="65"/>
      <c r="B542" s="51"/>
      <c r="C542" s="51"/>
      <c r="D542" s="72"/>
      <c r="E542" s="51"/>
      <c r="F542" s="35" t="str">
        <f aca="false">IF(OR(B542="",E542&lt;&gt;"Yes"),"",IFERROR(INDEX(Clients!$F$6:$F$25,MATCH(B542,Clients!$B$6:$B$25,0)),""))</f>
        <v/>
      </c>
      <c r="G542" s="73" t="str">
        <f aca="false">IF(AND(ISNUMBER(D542),ISNUMBER(F542)),D542*F542,"")</f>
        <v/>
      </c>
      <c r="H542" s="51"/>
      <c r="I542" s="51"/>
    </row>
    <row r="543" customFormat="false" ht="15" hidden="false" customHeight="false" outlineLevel="0" collapsed="false">
      <c r="A543" s="65"/>
      <c r="B543" s="51"/>
      <c r="C543" s="51"/>
      <c r="D543" s="72"/>
      <c r="E543" s="51"/>
      <c r="F543" s="35" t="str">
        <f aca="false">IF(OR(B543="",E543&lt;&gt;"Yes"),"",IFERROR(INDEX(Clients!$F$6:$F$25,MATCH(B543,Clients!$B$6:$B$25,0)),""))</f>
        <v/>
      </c>
      <c r="G543" s="73" t="str">
        <f aca="false">IF(AND(ISNUMBER(D543),ISNUMBER(F543)),D543*F543,"")</f>
        <v/>
      </c>
      <c r="H543" s="51"/>
      <c r="I543" s="51"/>
    </row>
    <row r="544" customFormat="false" ht="15" hidden="false" customHeight="false" outlineLevel="0" collapsed="false">
      <c r="A544" s="65"/>
      <c r="B544" s="51"/>
      <c r="C544" s="51"/>
      <c r="D544" s="72"/>
      <c r="E544" s="51"/>
      <c r="F544" s="35" t="str">
        <f aca="false">IF(OR(B544="",E544&lt;&gt;"Yes"),"",IFERROR(INDEX(Clients!$F$6:$F$25,MATCH(B544,Clients!$B$6:$B$25,0)),""))</f>
        <v/>
      </c>
      <c r="G544" s="73" t="str">
        <f aca="false">IF(AND(ISNUMBER(D544),ISNUMBER(F544)),D544*F544,"")</f>
        <v/>
      </c>
      <c r="H544" s="51"/>
      <c r="I544" s="51"/>
    </row>
    <row r="545" customFormat="false" ht="15" hidden="false" customHeight="false" outlineLevel="0" collapsed="false">
      <c r="A545" s="65"/>
      <c r="B545" s="51"/>
      <c r="C545" s="51"/>
      <c r="D545" s="72"/>
      <c r="E545" s="51"/>
      <c r="F545" s="35" t="str">
        <f aca="false">IF(OR(B545="",E545&lt;&gt;"Yes"),"",IFERROR(INDEX(Clients!$F$6:$F$25,MATCH(B545,Clients!$B$6:$B$25,0)),""))</f>
        <v/>
      </c>
      <c r="G545" s="73" t="str">
        <f aca="false">IF(AND(ISNUMBER(D545),ISNUMBER(F545)),D545*F545,"")</f>
        <v/>
      </c>
      <c r="H545" s="51"/>
      <c r="I545" s="51"/>
    </row>
    <row r="546" customFormat="false" ht="15" hidden="false" customHeight="false" outlineLevel="0" collapsed="false">
      <c r="A546" s="65"/>
      <c r="B546" s="51"/>
      <c r="C546" s="51"/>
      <c r="D546" s="72"/>
      <c r="E546" s="51"/>
      <c r="F546" s="35" t="str">
        <f aca="false">IF(OR(B546="",E546&lt;&gt;"Yes"),"",IFERROR(INDEX(Clients!$F$6:$F$25,MATCH(B546,Clients!$B$6:$B$25,0)),""))</f>
        <v/>
      </c>
      <c r="G546" s="73" t="str">
        <f aca="false">IF(AND(ISNUMBER(D546),ISNUMBER(F546)),D546*F546,"")</f>
        <v/>
      </c>
      <c r="H546" s="51"/>
      <c r="I546" s="51"/>
    </row>
    <row r="547" customFormat="false" ht="15" hidden="false" customHeight="false" outlineLevel="0" collapsed="false">
      <c r="A547" s="65"/>
      <c r="B547" s="51"/>
      <c r="C547" s="51"/>
      <c r="D547" s="72"/>
      <c r="E547" s="51"/>
      <c r="F547" s="35" t="str">
        <f aca="false">IF(OR(B547="",E547&lt;&gt;"Yes"),"",IFERROR(INDEX(Clients!$F$6:$F$25,MATCH(B547,Clients!$B$6:$B$25,0)),""))</f>
        <v/>
      </c>
      <c r="G547" s="73" t="str">
        <f aca="false">IF(AND(ISNUMBER(D547),ISNUMBER(F547)),D547*F547,"")</f>
        <v/>
      </c>
      <c r="H547" s="51"/>
      <c r="I547" s="51"/>
    </row>
    <row r="548" customFormat="false" ht="15" hidden="false" customHeight="false" outlineLevel="0" collapsed="false">
      <c r="A548" s="65"/>
      <c r="B548" s="51"/>
      <c r="C548" s="51"/>
      <c r="D548" s="72"/>
      <c r="E548" s="51"/>
      <c r="F548" s="35" t="str">
        <f aca="false">IF(OR(B548="",E548&lt;&gt;"Yes"),"",IFERROR(INDEX(Clients!$F$6:$F$25,MATCH(B548,Clients!$B$6:$B$25,0)),""))</f>
        <v/>
      </c>
      <c r="G548" s="73" t="str">
        <f aca="false">IF(AND(ISNUMBER(D548),ISNUMBER(F548)),D548*F548,"")</f>
        <v/>
      </c>
      <c r="H548" s="51"/>
      <c r="I548" s="51"/>
    </row>
    <row r="549" customFormat="false" ht="15" hidden="false" customHeight="false" outlineLevel="0" collapsed="false">
      <c r="A549" s="65"/>
      <c r="B549" s="51"/>
      <c r="C549" s="51"/>
      <c r="D549" s="72"/>
      <c r="E549" s="51"/>
      <c r="F549" s="35" t="str">
        <f aca="false">IF(OR(B549="",E549&lt;&gt;"Yes"),"",IFERROR(INDEX(Clients!$F$6:$F$25,MATCH(B549,Clients!$B$6:$B$25,0)),""))</f>
        <v/>
      </c>
      <c r="G549" s="73" t="str">
        <f aca="false">IF(AND(ISNUMBER(D549),ISNUMBER(F549)),D549*F549,"")</f>
        <v/>
      </c>
      <c r="H549" s="51"/>
      <c r="I549" s="51"/>
    </row>
    <row r="550" customFormat="false" ht="15" hidden="false" customHeight="false" outlineLevel="0" collapsed="false">
      <c r="A550" s="65"/>
      <c r="B550" s="51"/>
      <c r="C550" s="51"/>
      <c r="D550" s="72"/>
      <c r="E550" s="51"/>
      <c r="F550" s="35" t="str">
        <f aca="false">IF(OR(B550="",E550&lt;&gt;"Yes"),"",IFERROR(INDEX(Clients!$F$6:$F$25,MATCH(B550,Clients!$B$6:$B$25,0)),""))</f>
        <v/>
      </c>
      <c r="G550" s="73" t="str">
        <f aca="false">IF(AND(ISNUMBER(D550),ISNUMBER(F550)),D550*F550,"")</f>
        <v/>
      </c>
      <c r="H550" s="51"/>
      <c r="I550" s="51"/>
    </row>
    <row r="551" customFormat="false" ht="15" hidden="false" customHeight="false" outlineLevel="0" collapsed="false">
      <c r="A551" s="65"/>
      <c r="B551" s="51"/>
      <c r="C551" s="51"/>
      <c r="D551" s="72"/>
      <c r="E551" s="51"/>
      <c r="F551" s="35" t="str">
        <f aca="false">IF(OR(B551="",E551&lt;&gt;"Yes"),"",IFERROR(INDEX(Clients!$F$6:$F$25,MATCH(B551,Clients!$B$6:$B$25,0)),""))</f>
        <v/>
      </c>
      <c r="G551" s="73" t="str">
        <f aca="false">IF(AND(ISNUMBER(D551),ISNUMBER(F551)),D551*F551,"")</f>
        <v/>
      </c>
      <c r="H551" s="51"/>
      <c r="I551" s="51"/>
    </row>
    <row r="552" customFormat="false" ht="15" hidden="false" customHeight="false" outlineLevel="0" collapsed="false">
      <c r="A552" s="65"/>
      <c r="B552" s="51"/>
      <c r="C552" s="51"/>
      <c r="D552" s="72"/>
      <c r="E552" s="51"/>
      <c r="F552" s="35" t="str">
        <f aca="false">IF(OR(B552="",E552&lt;&gt;"Yes"),"",IFERROR(INDEX(Clients!$F$6:$F$25,MATCH(B552,Clients!$B$6:$B$25,0)),""))</f>
        <v/>
      </c>
      <c r="G552" s="73" t="str">
        <f aca="false">IF(AND(ISNUMBER(D552),ISNUMBER(F552)),D552*F552,"")</f>
        <v/>
      </c>
      <c r="H552" s="51"/>
      <c r="I552" s="51"/>
    </row>
    <row r="553" customFormat="false" ht="15" hidden="false" customHeight="false" outlineLevel="0" collapsed="false">
      <c r="A553" s="65"/>
      <c r="B553" s="51"/>
      <c r="C553" s="51"/>
      <c r="D553" s="72"/>
      <c r="E553" s="51"/>
      <c r="F553" s="35" t="str">
        <f aca="false">IF(OR(B553="",E553&lt;&gt;"Yes"),"",IFERROR(INDEX(Clients!$F$6:$F$25,MATCH(B553,Clients!$B$6:$B$25,0)),""))</f>
        <v/>
      </c>
      <c r="G553" s="73" t="str">
        <f aca="false">IF(AND(ISNUMBER(D553),ISNUMBER(F553)),D553*F553,"")</f>
        <v/>
      </c>
      <c r="H553" s="51"/>
      <c r="I553" s="51"/>
    </row>
    <row r="554" customFormat="false" ht="15" hidden="false" customHeight="false" outlineLevel="0" collapsed="false">
      <c r="A554" s="65"/>
      <c r="B554" s="51"/>
      <c r="C554" s="51"/>
      <c r="D554" s="72"/>
      <c r="E554" s="51"/>
      <c r="F554" s="35" t="str">
        <f aca="false">IF(OR(B554="",E554&lt;&gt;"Yes"),"",IFERROR(INDEX(Clients!$F$6:$F$25,MATCH(B554,Clients!$B$6:$B$25,0)),""))</f>
        <v/>
      </c>
      <c r="G554" s="73" t="str">
        <f aca="false">IF(AND(ISNUMBER(D554),ISNUMBER(F554)),D554*F554,"")</f>
        <v/>
      </c>
      <c r="H554" s="51"/>
      <c r="I554" s="51"/>
    </row>
    <row r="555" customFormat="false" ht="15" hidden="false" customHeight="false" outlineLevel="0" collapsed="false">
      <c r="A555" s="65"/>
      <c r="B555" s="51"/>
      <c r="C555" s="51"/>
      <c r="D555" s="72"/>
      <c r="E555" s="51"/>
      <c r="F555" s="35" t="str">
        <f aca="false">IF(OR(B555="",E555&lt;&gt;"Yes"),"",IFERROR(INDEX(Clients!$F$6:$F$25,MATCH(B555,Clients!$B$6:$B$25,0)),""))</f>
        <v/>
      </c>
      <c r="G555" s="73" t="str">
        <f aca="false">IF(AND(ISNUMBER(D555),ISNUMBER(F555)),D555*F555,"")</f>
        <v/>
      </c>
      <c r="H555" s="51"/>
      <c r="I555" s="51"/>
    </row>
    <row r="556" customFormat="false" ht="15" hidden="false" customHeight="false" outlineLevel="0" collapsed="false">
      <c r="A556" s="65"/>
      <c r="B556" s="51"/>
      <c r="C556" s="51"/>
      <c r="D556" s="72"/>
      <c r="E556" s="51"/>
      <c r="F556" s="35" t="str">
        <f aca="false">IF(OR(B556="",E556&lt;&gt;"Yes"),"",IFERROR(INDEX(Clients!$F$6:$F$25,MATCH(B556,Clients!$B$6:$B$25,0)),""))</f>
        <v/>
      </c>
      <c r="G556" s="73" t="str">
        <f aca="false">IF(AND(ISNUMBER(D556),ISNUMBER(F556)),D556*F556,"")</f>
        <v/>
      </c>
      <c r="H556" s="51"/>
      <c r="I556" s="51"/>
    </row>
    <row r="557" customFormat="false" ht="15" hidden="false" customHeight="false" outlineLevel="0" collapsed="false">
      <c r="A557" s="65"/>
      <c r="B557" s="51"/>
      <c r="C557" s="51"/>
      <c r="D557" s="72"/>
      <c r="E557" s="51"/>
      <c r="F557" s="35" t="str">
        <f aca="false">IF(OR(B557="",E557&lt;&gt;"Yes"),"",IFERROR(INDEX(Clients!$F$6:$F$25,MATCH(B557,Clients!$B$6:$B$25,0)),""))</f>
        <v/>
      </c>
      <c r="G557" s="73" t="str">
        <f aca="false">IF(AND(ISNUMBER(D557),ISNUMBER(F557)),D557*F557,"")</f>
        <v/>
      </c>
      <c r="H557" s="51"/>
      <c r="I557" s="51"/>
    </row>
    <row r="558" customFormat="false" ht="15" hidden="false" customHeight="false" outlineLevel="0" collapsed="false">
      <c r="A558" s="65"/>
      <c r="B558" s="51"/>
      <c r="C558" s="51"/>
      <c r="D558" s="72"/>
      <c r="E558" s="51"/>
      <c r="F558" s="35" t="str">
        <f aca="false">IF(OR(B558="",E558&lt;&gt;"Yes"),"",IFERROR(INDEX(Clients!$F$6:$F$25,MATCH(B558,Clients!$B$6:$B$25,0)),""))</f>
        <v/>
      </c>
      <c r="G558" s="73" t="str">
        <f aca="false">IF(AND(ISNUMBER(D558),ISNUMBER(F558)),D558*F558,"")</f>
        <v/>
      </c>
      <c r="H558" s="51"/>
      <c r="I558" s="51"/>
    </row>
    <row r="559" customFormat="false" ht="15" hidden="false" customHeight="false" outlineLevel="0" collapsed="false">
      <c r="A559" s="65"/>
      <c r="B559" s="51"/>
      <c r="C559" s="51"/>
      <c r="D559" s="72"/>
      <c r="E559" s="51"/>
      <c r="F559" s="35" t="str">
        <f aca="false">IF(OR(B559="",E559&lt;&gt;"Yes"),"",IFERROR(INDEX(Clients!$F$6:$F$25,MATCH(B559,Clients!$B$6:$B$25,0)),""))</f>
        <v/>
      </c>
      <c r="G559" s="73" t="str">
        <f aca="false">IF(AND(ISNUMBER(D559),ISNUMBER(F559)),D559*F559,"")</f>
        <v/>
      </c>
      <c r="H559" s="51"/>
      <c r="I559" s="51"/>
    </row>
    <row r="560" customFormat="false" ht="15" hidden="false" customHeight="false" outlineLevel="0" collapsed="false">
      <c r="A560" s="65"/>
      <c r="B560" s="51"/>
      <c r="C560" s="51"/>
      <c r="D560" s="72"/>
      <c r="E560" s="51"/>
      <c r="F560" s="35" t="str">
        <f aca="false">IF(OR(B560="",E560&lt;&gt;"Yes"),"",IFERROR(INDEX(Clients!$F$6:$F$25,MATCH(B560,Clients!$B$6:$B$25,0)),""))</f>
        <v/>
      </c>
      <c r="G560" s="73" t="str">
        <f aca="false">IF(AND(ISNUMBER(D560),ISNUMBER(F560)),D560*F560,"")</f>
        <v/>
      </c>
      <c r="H560" s="51"/>
      <c r="I560" s="51"/>
    </row>
    <row r="561" customFormat="false" ht="15" hidden="false" customHeight="false" outlineLevel="0" collapsed="false">
      <c r="A561" s="65"/>
      <c r="B561" s="51"/>
      <c r="C561" s="51"/>
      <c r="D561" s="72"/>
      <c r="E561" s="51"/>
      <c r="F561" s="35" t="str">
        <f aca="false">IF(OR(B561="",E561&lt;&gt;"Yes"),"",IFERROR(INDEX(Clients!$F$6:$F$25,MATCH(B561,Clients!$B$6:$B$25,0)),""))</f>
        <v/>
      </c>
      <c r="G561" s="73" t="str">
        <f aca="false">IF(AND(ISNUMBER(D561),ISNUMBER(F561)),D561*F561,"")</f>
        <v/>
      </c>
      <c r="H561" s="51"/>
      <c r="I561" s="51"/>
    </row>
    <row r="562" customFormat="false" ht="15" hidden="false" customHeight="false" outlineLevel="0" collapsed="false">
      <c r="A562" s="65"/>
      <c r="B562" s="51"/>
      <c r="C562" s="51"/>
      <c r="D562" s="72"/>
      <c r="E562" s="51"/>
      <c r="F562" s="35" t="str">
        <f aca="false">IF(OR(B562="",E562&lt;&gt;"Yes"),"",IFERROR(INDEX(Clients!$F$6:$F$25,MATCH(B562,Clients!$B$6:$B$25,0)),""))</f>
        <v/>
      </c>
      <c r="G562" s="73" t="str">
        <f aca="false">IF(AND(ISNUMBER(D562),ISNUMBER(F562)),D562*F562,"")</f>
        <v/>
      </c>
      <c r="H562" s="51"/>
      <c r="I562" s="51"/>
    </row>
    <row r="563" customFormat="false" ht="15" hidden="false" customHeight="false" outlineLevel="0" collapsed="false">
      <c r="A563" s="65"/>
      <c r="B563" s="51"/>
      <c r="C563" s="51"/>
      <c r="D563" s="72"/>
      <c r="E563" s="51"/>
      <c r="F563" s="35" t="str">
        <f aca="false">IF(OR(B563="",E563&lt;&gt;"Yes"),"",IFERROR(INDEX(Clients!$F$6:$F$25,MATCH(B563,Clients!$B$6:$B$25,0)),""))</f>
        <v/>
      </c>
      <c r="G563" s="73" t="str">
        <f aca="false">IF(AND(ISNUMBER(D563),ISNUMBER(F563)),D563*F563,"")</f>
        <v/>
      </c>
      <c r="H563" s="51"/>
      <c r="I563" s="51"/>
    </row>
    <row r="564" customFormat="false" ht="15" hidden="false" customHeight="false" outlineLevel="0" collapsed="false">
      <c r="A564" s="65"/>
      <c r="B564" s="51"/>
      <c r="C564" s="51"/>
      <c r="D564" s="72"/>
      <c r="E564" s="51"/>
      <c r="F564" s="35" t="str">
        <f aca="false">IF(OR(B564="",E564&lt;&gt;"Yes"),"",IFERROR(INDEX(Clients!$F$6:$F$25,MATCH(B564,Clients!$B$6:$B$25,0)),""))</f>
        <v/>
      </c>
      <c r="G564" s="73" t="str">
        <f aca="false">IF(AND(ISNUMBER(D564),ISNUMBER(F564)),D564*F564,"")</f>
        <v/>
      </c>
      <c r="H564" s="51"/>
      <c r="I564" s="51"/>
    </row>
    <row r="565" customFormat="false" ht="15" hidden="false" customHeight="false" outlineLevel="0" collapsed="false">
      <c r="A565" s="65"/>
      <c r="B565" s="51"/>
      <c r="C565" s="51"/>
      <c r="D565" s="72"/>
      <c r="E565" s="51"/>
      <c r="F565" s="35" t="str">
        <f aca="false">IF(OR(B565="",E565&lt;&gt;"Yes"),"",IFERROR(INDEX(Clients!$F$6:$F$25,MATCH(B565,Clients!$B$6:$B$25,0)),""))</f>
        <v/>
      </c>
      <c r="G565" s="73" t="str">
        <f aca="false">IF(AND(ISNUMBER(D565),ISNUMBER(F565)),D565*F565,"")</f>
        <v/>
      </c>
      <c r="H565" s="51"/>
      <c r="I565" s="51"/>
    </row>
    <row r="566" customFormat="false" ht="15" hidden="false" customHeight="false" outlineLevel="0" collapsed="false">
      <c r="A566" s="65"/>
      <c r="B566" s="51"/>
      <c r="C566" s="51"/>
      <c r="D566" s="72"/>
      <c r="E566" s="51"/>
      <c r="F566" s="35" t="str">
        <f aca="false">IF(OR(B566="",E566&lt;&gt;"Yes"),"",IFERROR(INDEX(Clients!$F$6:$F$25,MATCH(B566,Clients!$B$6:$B$25,0)),""))</f>
        <v/>
      </c>
      <c r="G566" s="73" t="str">
        <f aca="false">IF(AND(ISNUMBER(D566),ISNUMBER(F566)),D566*F566,"")</f>
        <v/>
      </c>
      <c r="H566" s="51"/>
      <c r="I566" s="51"/>
    </row>
    <row r="567" customFormat="false" ht="15" hidden="false" customHeight="false" outlineLevel="0" collapsed="false">
      <c r="A567" s="65"/>
      <c r="B567" s="51"/>
      <c r="C567" s="51"/>
      <c r="D567" s="72"/>
      <c r="E567" s="51"/>
      <c r="F567" s="35" t="str">
        <f aca="false">IF(OR(B567="",E567&lt;&gt;"Yes"),"",IFERROR(INDEX(Clients!$F$6:$F$25,MATCH(B567,Clients!$B$6:$B$25,0)),""))</f>
        <v/>
      </c>
      <c r="G567" s="73" t="str">
        <f aca="false">IF(AND(ISNUMBER(D567),ISNUMBER(F567)),D567*F567,"")</f>
        <v/>
      </c>
      <c r="H567" s="51"/>
      <c r="I567" s="51"/>
    </row>
    <row r="568" customFormat="false" ht="15" hidden="false" customHeight="false" outlineLevel="0" collapsed="false">
      <c r="A568" s="65"/>
      <c r="B568" s="51"/>
      <c r="C568" s="51"/>
      <c r="D568" s="72"/>
      <c r="E568" s="51"/>
      <c r="F568" s="35" t="str">
        <f aca="false">IF(OR(B568="",E568&lt;&gt;"Yes"),"",IFERROR(INDEX(Clients!$F$6:$F$25,MATCH(B568,Clients!$B$6:$B$25,0)),""))</f>
        <v/>
      </c>
      <c r="G568" s="73" t="str">
        <f aca="false">IF(AND(ISNUMBER(D568),ISNUMBER(F568)),D568*F568,"")</f>
        <v/>
      </c>
      <c r="H568" s="51"/>
      <c r="I568" s="51"/>
    </row>
    <row r="569" customFormat="false" ht="15" hidden="false" customHeight="false" outlineLevel="0" collapsed="false">
      <c r="A569" s="65"/>
      <c r="B569" s="51"/>
      <c r="C569" s="51"/>
      <c r="D569" s="72"/>
      <c r="E569" s="51"/>
      <c r="F569" s="35" t="str">
        <f aca="false">IF(OR(B569="",E569&lt;&gt;"Yes"),"",IFERROR(INDEX(Clients!$F$6:$F$25,MATCH(B569,Clients!$B$6:$B$25,0)),""))</f>
        <v/>
      </c>
      <c r="G569" s="73" t="str">
        <f aca="false">IF(AND(ISNUMBER(D569),ISNUMBER(F569)),D569*F569,"")</f>
        <v/>
      </c>
      <c r="H569" s="51"/>
      <c r="I569" s="51"/>
    </row>
    <row r="570" customFormat="false" ht="15" hidden="false" customHeight="false" outlineLevel="0" collapsed="false">
      <c r="A570" s="65"/>
      <c r="B570" s="51"/>
      <c r="C570" s="51"/>
      <c r="D570" s="72"/>
      <c r="E570" s="51"/>
      <c r="F570" s="35" t="str">
        <f aca="false">IF(OR(B570="",E570&lt;&gt;"Yes"),"",IFERROR(INDEX(Clients!$F$6:$F$25,MATCH(B570,Clients!$B$6:$B$25,0)),""))</f>
        <v/>
      </c>
      <c r="G570" s="73" t="str">
        <f aca="false">IF(AND(ISNUMBER(D570),ISNUMBER(F570)),D570*F570,"")</f>
        <v/>
      </c>
      <c r="H570" s="51"/>
      <c r="I570" s="51"/>
    </row>
    <row r="571" customFormat="false" ht="15" hidden="false" customHeight="false" outlineLevel="0" collapsed="false">
      <c r="A571" s="65"/>
      <c r="B571" s="51"/>
      <c r="C571" s="51"/>
      <c r="D571" s="72"/>
      <c r="E571" s="51"/>
      <c r="F571" s="35" t="str">
        <f aca="false">IF(OR(B571="",E571&lt;&gt;"Yes"),"",IFERROR(INDEX(Clients!$F$6:$F$25,MATCH(B571,Clients!$B$6:$B$25,0)),""))</f>
        <v/>
      </c>
      <c r="G571" s="73" t="str">
        <f aca="false">IF(AND(ISNUMBER(D571),ISNUMBER(F571)),D571*F571,"")</f>
        <v/>
      </c>
      <c r="H571" s="51"/>
      <c r="I571" s="51"/>
    </row>
    <row r="572" customFormat="false" ht="15" hidden="false" customHeight="false" outlineLevel="0" collapsed="false">
      <c r="A572" s="65"/>
      <c r="B572" s="51"/>
      <c r="C572" s="51"/>
      <c r="D572" s="72"/>
      <c r="E572" s="51"/>
      <c r="F572" s="35" t="str">
        <f aca="false">IF(OR(B572="",E572&lt;&gt;"Yes"),"",IFERROR(INDEX(Clients!$F$6:$F$25,MATCH(B572,Clients!$B$6:$B$25,0)),""))</f>
        <v/>
      </c>
      <c r="G572" s="73" t="str">
        <f aca="false">IF(AND(ISNUMBER(D572),ISNUMBER(F572)),D572*F572,"")</f>
        <v/>
      </c>
      <c r="H572" s="51"/>
      <c r="I572" s="51"/>
    </row>
    <row r="573" customFormat="false" ht="15" hidden="false" customHeight="false" outlineLevel="0" collapsed="false">
      <c r="A573" s="65"/>
      <c r="B573" s="51"/>
      <c r="C573" s="51"/>
      <c r="D573" s="72"/>
      <c r="E573" s="51"/>
      <c r="F573" s="35" t="str">
        <f aca="false">IF(OR(B573="",E573&lt;&gt;"Yes"),"",IFERROR(INDEX(Clients!$F$6:$F$25,MATCH(B573,Clients!$B$6:$B$25,0)),""))</f>
        <v/>
      </c>
      <c r="G573" s="73" t="str">
        <f aca="false">IF(AND(ISNUMBER(D573),ISNUMBER(F573)),D573*F573,"")</f>
        <v/>
      </c>
      <c r="H573" s="51"/>
      <c r="I573" s="51"/>
    </row>
    <row r="574" customFormat="false" ht="15" hidden="false" customHeight="false" outlineLevel="0" collapsed="false">
      <c r="A574" s="65"/>
      <c r="B574" s="51"/>
      <c r="C574" s="51"/>
      <c r="D574" s="72"/>
      <c r="E574" s="51"/>
      <c r="F574" s="35" t="str">
        <f aca="false">IF(OR(B574="",E574&lt;&gt;"Yes"),"",IFERROR(INDEX(Clients!$F$6:$F$25,MATCH(B574,Clients!$B$6:$B$25,0)),""))</f>
        <v/>
      </c>
      <c r="G574" s="73" t="str">
        <f aca="false">IF(AND(ISNUMBER(D574),ISNUMBER(F574)),D574*F574,"")</f>
        <v/>
      </c>
      <c r="H574" s="51"/>
      <c r="I574" s="51"/>
    </row>
    <row r="575" customFormat="false" ht="15" hidden="false" customHeight="false" outlineLevel="0" collapsed="false">
      <c r="A575" s="65"/>
      <c r="B575" s="51"/>
      <c r="C575" s="51"/>
      <c r="D575" s="72"/>
      <c r="E575" s="51"/>
      <c r="F575" s="35" t="str">
        <f aca="false">IF(OR(B575="",E575&lt;&gt;"Yes"),"",IFERROR(INDEX(Clients!$F$6:$F$25,MATCH(B575,Clients!$B$6:$B$25,0)),""))</f>
        <v/>
      </c>
      <c r="G575" s="73" t="str">
        <f aca="false">IF(AND(ISNUMBER(D575),ISNUMBER(F575)),D575*F575,"")</f>
        <v/>
      </c>
      <c r="H575" s="51"/>
      <c r="I575" s="51"/>
    </row>
    <row r="576" customFormat="false" ht="15" hidden="false" customHeight="false" outlineLevel="0" collapsed="false">
      <c r="A576" s="65"/>
      <c r="B576" s="51"/>
      <c r="C576" s="51"/>
      <c r="D576" s="72"/>
      <c r="E576" s="51"/>
      <c r="F576" s="35" t="str">
        <f aca="false">IF(OR(B576="",E576&lt;&gt;"Yes"),"",IFERROR(INDEX(Clients!$F$6:$F$25,MATCH(B576,Clients!$B$6:$B$25,0)),""))</f>
        <v/>
      </c>
      <c r="G576" s="73" t="str">
        <f aca="false">IF(AND(ISNUMBER(D576),ISNUMBER(F576)),D576*F576,"")</f>
        <v/>
      </c>
      <c r="H576" s="51"/>
      <c r="I576" s="51"/>
    </row>
    <row r="577" customFormat="false" ht="15" hidden="false" customHeight="false" outlineLevel="0" collapsed="false">
      <c r="A577" s="65"/>
      <c r="B577" s="51"/>
      <c r="C577" s="51"/>
      <c r="D577" s="72"/>
      <c r="E577" s="51"/>
      <c r="F577" s="35" t="str">
        <f aca="false">IF(OR(B577="",E577&lt;&gt;"Yes"),"",IFERROR(INDEX(Clients!$F$6:$F$25,MATCH(B577,Clients!$B$6:$B$25,0)),""))</f>
        <v/>
      </c>
      <c r="G577" s="73" t="str">
        <f aca="false">IF(AND(ISNUMBER(D577),ISNUMBER(F577)),D577*F577,"")</f>
        <v/>
      </c>
      <c r="H577" s="51"/>
      <c r="I577" s="51"/>
    </row>
    <row r="578" customFormat="false" ht="15" hidden="false" customHeight="false" outlineLevel="0" collapsed="false">
      <c r="A578" s="65"/>
      <c r="B578" s="51"/>
      <c r="C578" s="51"/>
      <c r="D578" s="72"/>
      <c r="E578" s="51"/>
      <c r="F578" s="35" t="str">
        <f aca="false">IF(OR(B578="",E578&lt;&gt;"Yes"),"",IFERROR(INDEX(Clients!$F$6:$F$25,MATCH(B578,Clients!$B$6:$B$25,0)),""))</f>
        <v/>
      </c>
      <c r="G578" s="73" t="str">
        <f aca="false">IF(AND(ISNUMBER(D578),ISNUMBER(F578)),D578*F578,"")</f>
        <v/>
      </c>
      <c r="H578" s="51"/>
      <c r="I578" s="51"/>
    </row>
    <row r="579" customFormat="false" ht="15" hidden="false" customHeight="false" outlineLevel="0" collapsed="false">
      <c r="A579" s="65"/>
      <c r="B579" s="51"/>
      <c r="C579" s="51"/>
      <c r="D579" s="72"/>
      <c r="E579" s="51"/>
      <c r="F579" s="35" t="str">
        <f aca="false">IF(OR(B579="",E579&lt;&gt;"Yes"),"",IFERROR(INDEX(Clients!$F$6:$F$25,MATCH(B579,Clients!$B$6:$B$25,0)),""))</f>
        <v/>
      </c>
      <c r="G579" s="73" t="str">
        <f aca="false">IF(AND(ISNUMBER(D579),ISNUMBER(F579)),D579*F579,"")</f>
        <v/>
      </c>
      <c r="H579" s="51"/>
      <c r="I579" s="51"/>
    </row>
    <row r="580" customFormat="false" ht="15" hidden="false" customHeight="false" outlineLevel="0" collapsed="false">
      <c r="A580" s="65"/>
      <c r="B580" s="51"/>
      <c r="C580" s="51"/>
      <c r="D580" s="72"/>
      <c r="E580" s="51"/>
      <c r="F580" s="35" t="str">
        <f aca="false">IF(OR(B580="",E580&lt;&gt;"Yes"),"",IFERROR(INDEX(Clients!$F$6:$F$25,MATCH(B580,Clients!$B$6:$B$25,0)),""))</f>
        <v/>
      </c>
      <c r="G580" s="73" t="str">
        <f aca="false">IF(AND(ISNUMBER(D580),ISNUMBER(F580)),D580*F580,"")</f>
        <v/>
      </c>
      <c r="H580" s="51"/>
      <c r="I580" s="51"/>
    </row>
    <row r="581" customFormat="false" ht="15" hidden="false" customHeight="false" outlineLevel="0" collapsed="false">
      <c r="A581" s="65"/>
      <c r="B581" s="51"/>
      <c r="C581" s="51"/>
      <c r="D581" s="72"/>
      <c r="E581" s="51"/>
      <c r="F581" s="35" t="str">
        <f aca="false">IF(OR(B581="",E581&lt;&gt;"Yes"),"",IFERROR(INDEX(Clients!$F$6:$F$25,MATCH(B581,Clients!$B$6:$B$25,0)),""))</f>
        <v/>
      </c>
      <c r="G581" s="73" t="str">
        <f aca="false">IF(AND(ISNUMBER(D581),ISNUMBER(F581)),D581*F581,"")</f>
        <v/>
      </c>
      <c r="H581" s="51"/>
      <c r="I581" s="51"/>
    </row>
    <row r="582" customFormat="false" ht="15" hidden="false" customHeight="false" outlineLevel="0" collapsed="false">
      <c r="A582" s="65"/>
      <c r="B582" s="51"/>
      <c r="C582" s="51"/>
      <c r="D582" s="72"/>
      <c r="E582" s="51"/>
      <c r="F582" s="35" t="str">
        <f aca="false">IF(OR(B582="",E582&lt;&gt;"Yes"),"",IFERROR(INDEX(Clients!$F$6:$F$25,MATCH(B582,Clients!$B$6:$B$25,0)),""))</f>
        <v/>
      </c>
      <c r="G582" s="73" t="str">
        <f aca="false">IF(AND(ISNUMBER(D582),ISNUMBER(F582)),D582*F582,"")</f>
        <v/>
      </c>
      <c r="H582" s="51"/>
      <c r="I582" s="51"/>
    </row>
    <row r="583" customFormat="false" ht="15" hidden="false" customHeight="false" outlineLevel="0" collapsed="false">
      <c r="A583" s="65"/>
      <c r="B583" s="51"/>
      <c r="C583" s="51"/>
      <c r="D583" s="72"/>
      <c r="E583" s="51"/>
      <c r="F583" s="35" t="str">
        <f aca="false">IF(OR(B583="",E583&lt;&gt;"Yes"),"",IFERROR(INDEX(Clients!$F$6:$F$25,MATCH(B583,Clients!$B$6:$B$25,0)),""))</f>
        <v/>
      </c>
      <c r="G583" s="73" t="str">
        <f aca="false">IF(AND(ISNUMBER(D583),ISNUMBER(F583)),D583*F583,"")</f>
        <v/>
      </c>
      <c r="H583" s="51"/>
      <c r="I583" s="51"/>
    </row>
    <row r="584" customFormat="false" ht="15" hidden="false" customHeight="false" outlineLevel="0" collapsed="false">
      <c r="A584" s="65"/>
      <c r="B584" s="51"/>
      <c r="C584" s="51"/>
      <c r="D584" s="72"/>
      <c r="E584" s="51"/>
      <c r="F584" s="35" t="str">
        <f aca="false">IF(OR(B584="",E584&lt;&gt;"Yes"),"",IFERROR(INDEX(Clients!$F$6:$F$25,MATCH(B584,Clients!$B$6:$B$25,0)),""))</f>
        <v/>
      </c>
      <c r="G584" s="73" t="str">
        <f aca="false">IF(AND(ISNUMBER(D584),ISNUMBER(F584)),D584*F584,"")</f>
        <v/>
      </c>
      <c r="H584" s="51"/>
      <c r="I584" s="51"/>
    </row>
    <row r="585" customFormat="false" ht="15" hidden="false" customHeight="false" outlineLevel="0" collapsed="false">
      <c r="A585" s="65"/>
      <c r="B585" s="51"/>
      <c r="C585" s="51"/>
      <c r="D585" s="72"/>
      <c r="E585" s="51"/>
      <c r="F585" s="35" t="str">
        <f aca="false">IF(OR(B585="",E585&lt;&gt;"Yes"),"",IFERROR(INDEX(Clients!$F$6:$F$25,MATCH(B585,Clients!$B$6:$B$25,0)),""))</f>
        <v/>
      </c>
      <c r="G585" s="73" t="str">
        <f aca="false">IF(AND(ISNUMBER(D585),ISNUMBER(F585)),D585*F585,"")</f>
        <v/>
      </c>
      <c r="H585" s="51"/>
      <c r="I585" s="51"/>
    </row>
    <row r="586" customFormat="false" ht="15" hidden="false" customHeight="false" outlineLevel="0" collapsed="false">
      <c r="A586" s="65"/>
      <c r="B586" s="51"/>
      <c r="C586" s="51"/>
      <c r="D586" s="72"/>
      <c r="E586" s="51"/>
      <c r="F586" s="35" t="str">
        <f aca="false">IF(OR(B586="",E586&lt;&gt;"Yes"),"",IFERROR(INDEX(Clients!$F$6:$F$25,MATCH(B586,Clients!$B$6:$B$25,0)),""))</f>
        <v/>
      </c>
      <c r="G586" s="73" t="str">
        <f aca="false">IF(AND(ISNUMBER(D586),ISNUMBER(F586)),D586*F586,"")</f>
        <v/>
      </c>
      <c r="H586" s="51"/>
      <c r="I586" s="51"/>
    </row>
    <row r="587" customFormat="false" ht="15" hidden="false" customHeight="false" outlineLevel="0" collapsed="false">
      <c r="A587" s="65"/>
      <c r="B587" s="51"/>
      <c r="C587" s="51"/>
      <c r="D587" s="72"/>
      <c r="E587" s="51"/>
      <c r="F587" s="35" t="str">
        <f aca="false">IF(OR(B587="",E587&lt;&gt;"Yes"),"",IFERROR(INDEX(Clients!$F$6:$F$25,MATCH(B587,Clients!$B$6:$B$25,0)),""))</f>
        <v/>
      </c>
      <c r="G587" s="73" t="str">
        <f aca="false">IF(AND(ISNUMBER(D587),ISNUMBER(F587)),D587*F587,"")</f>
        <v/>
      </c>
      <c r="H587" s="51"/>
      <c r="I587" s="51"/>
    </row>
    <row r="588" customFormat="false" ht="15" hidden="false" customHeight="false" outlineLevel="0" collapsed="false">
      <c r="A588" s="65"/>
      <c r="B588" s="51"/>
      <c r="C588" s="51"/>
      <c r="D588" s="72"/>
      <c r="E588" s="51"/>
      <c r="F588" s="35" t="str">
        <f aca="false">IF(OR(B588="",E588&lt;&gt;"Yes"),"",IFERROR(INDEX(Clients!$F$6:$F$25,MATCH(B588,Clients!$B$6:$B$25,0)),""))</f>
        <v/>
      </c>
      <c r="G588" s="73" t="str">
        <f aca="false">IF(AND(ISNUMBER(D588),ISNUMBER(F588)),D588*F588,"")</f>
        <v/>
      </c>
      <c r="H588" s="51"/>
      <c r="I588" s="51"/>
    </row>
    <row r="589" customFormat="false" ht="15" hidden="false" customHeight="false" outlineLevel="0" collapsed="false">
      <c r="A589" s="65"/>
      <c r="B589" s="51"/>
      <c r="C589" s="51"/>
      <c r="D589" s="72"/>
      <c r="E589" s="51"/>
      <c r="F589" s="35" t="str">
        <f aca="false">IF(OR(B589="",E589&lt;&gt;"Yes"),"",IFERROR(INDEX(Clients!$F$6:$F$25,MATCH(B589,Clients!$B$6:$B$25,0)),""))</f>
        <v/>
      </c>
      <c r="G589" s="73" t="str">
        <f aca="false">IF(AND(ISNUMBER(D589),ISNUMBER(F589)),D589*F589,"")</f>
        <v/>
      </c>
      <c r="H589" s="51"/>
      <c r="I589" s="51"/>
    </row>
    <row r="590" customFormat="false" ht="15" hidden="false" customHeight="false" outlineLevel="0" collapsed="false">
      <c r="A590" s="65"/>
      <c r="B590" s="51"/>
      <c r="C590" s="51"/>
      <c r="D590" s="72"/>
      <c r="E590" s="51"/>
      <c r="F590" s="35" t="str">
        <f aca="false">IF(OR(B590="",E590&lt;&gt;"Yes"),"",IFERROR(INDEX(Clients!$F$6:$F$25,MATCH(B590,Clients!$B$6:$B$25,0)),""))</f>
        <v/>
      </c>
      <c r="G590" s="73" t="str">
        <f aca="false">IF(AND(ISNUMBER(D590),ISNUMBER(F590)),D590*F590,"")</f>
        <v/>
      </c>
      <c r="H590" s="51"/>
      <c r="I590" s="51"/>
    </row>
    <row r="591" customFormat="false" ht="15" hidden="false" customHeight="false" outlineLevel="0" collapsed="false">
      <c r="A591" s="65"/>
      <c r="B591" s="51"/>
      <c r="C591" s="51"/>
      <c r="D591" s="72"/>
      <c r="E591" s="51"/>
      <c r="F591" s="35" t="str">
        <f aca="false">IF(OR(B591="",E591&lt;&gt;"Yes"),"",IFERROR(INDEX(Clients!$F$6:$F$25,MATCH(B591,Clients!$B$6:$B$25,0)),""))</f>
        <v/>
      </c>
      <c r="G591" s="73" t="str">
        <f aca="false">IF(AND(ISNUMBER(D591),ISNUMBER(F591)),D591*F591,"")</f>
        <v/>
      </c>
      <c r="H591" s="51"/>
      <c r="I591" s="51"/>
    </row>
    <row r="592" customFormat="false" ht="15" hidden="false" customHeight="false" outlineLevel="0" collapsed="false">
      <c r="A592" s="65"/>
      <c r="B592" s="51"/>
      <c r="C592" s="51"/>
      <c r="D592" s="72"/>
      <c r="E592" s="51"/>
      <c r="F592" s="35" t="str">
        <f aca="false">IF(OR(B592="",E592&lt;&gt;"Yes"),"",IFERROR(INDEX(Clients!$F$6:$F$25,MATCH(B592,Clients!$B$6:$B$25,0)),""))</f>
        <v/>
      </c>
      <c r="G592" s="73" t="str">
        <f aca="false">IF(AND(ISNUMBER(D592),ISNUMBER(F592)),D592*F592,"")</f>
        <v/>
      </c>
      <c r="H592" s="51"/>
      <c r="I592" s="51"/>
    </row>
    <row r="593" customFormat="false" ht="15" hidden="false" customHeight="false" outlineLevel="0" collapsed="false">
      <c r="A593" s="65"/>
      <c r="B593" s="51"/>
      <c r="C593" s="51"/>
      <c r="D593" s="72"/>
      <c r="E593" s="51"/>
      <c r="F593" s="35" t="str">
        <f aca="false">IF(OR(B593="",E593&lt;&gt;"Yes"),"",IFERROR(INDEX(Clients!$F$6:$F$25,MATCH(B593,Clients!$B$6:$B$25,0)),""))</f>
        <v/>
      </c>
      <c r="G593" s="73" t="str">
        <f aca="false">IF(AND(ISNUMBER(D593),ISNUMBER(F593)),D593*F593,"")</f>
        <v/>
      </c>
      <c r="H593" s="51"/>
      <c r="I593" s="51"/>
    </row>
    <row r="594" customFormat="false" ht="15" hidden="false" customHeight="false" outlineLevel="0" collapsed="false">
      <c r="A594" s="65"/>
      <c r="B594" s="51"/>
      <c r="C594" s="51"/>
      <c r="D594" s="72"/>
      <c r="E594" s="51"/>
      <c r="F594" s="35" t="str">
        <f aca="false">IF(OR(B594="",E594&lt;&gt;"Yes"),"",IFERROR(INDEX(Clients!$F$6:$F$25,MATCH(B594,Clients!$B$6:$B$25,0)),""))</f>
        <v/>
      </c>
      <c r="G594" s="73" t="str">
        <f aca="false">IF(AND(ISNUMBER(D594),ISNUMBER(F594)),D594*F594,"")</f>
        <v/>
      </c>
      <c r="H594" s="51"/>
      <c r="I594" s="51"/>
    </row>
    <row r="595" customFormat="false" ht="15" hidden="false" customHeight="false" outlineLevel="0" collapsed="false">
      <c r="A595" s="65"/>
      <c r="B595" s="51"/>
      <c r="C595" s="51"/>
      <c r="D595" s="72"/>
      <c r="E595" s="51"/>
      <c r="F595" s="35" t="str">
        <f aca="false">IF(OR(B595="",E595&lt;&gt;"Yes"),"",IFERROR(INDEX(Clients!$F$6:$F$25,MATCH(B595,Clients!$B$6:$B$25,0)),""))</f>
        <v/>
      </c>
      <c r="G595" s="73" t="str">
        <f aca="false">IF(AND(ISNUMBER(D595),ISNUMBER(F595)),D595*F595,"")</f>
        <v/>
      </c>
      <c r="H595" s="51"/>
      <c r="I595" s="51"/>
    </row>
    <row r="596" customFormat="false" ht="15" hidden="false" customHeight="false" outlineLevel="0" collapsed="false">
      <c r="A596" s="65"/>
      <c r="B596" s="51"/>
      <c r="C596" s="51"/>
      <c r="D596" s="72"/>
      <c r="E596" s="51"/>
      <c r="F596" s="35" t="str">
        <f aca="false">IF(OR(B596="",E596&lt;&gt;"Yes"),"",IFERROR(INDEX(Clients!$F$6:$F$25,MATCH(B596,Clients!$B$6:$B$25,0)),""))</f>
        <v/>
      </c>
      <c r="G596" s="73" t="str">
        <f aca="false">IF(AND(ISNUMBER(D596),ISNUMBER(F596)),D596*F596,"")</f>
        <v/>
      </c>
      <c r="H596" s="51"/>
      <c r="I596" s="51"/>
    </row>
    <row r="597" customFormat="false" ht="15" hidden="false" customHeight="false" outlineLevel="0" collapsed="false">
      <c r="A597" s="65"/>
      <c r="B597" s="51"/>
      <c r="C597" s="51"/>
      <c r="D597" s="72"/>
      <c r="E597" s="51"/>
      <c r="F597" s="35" t="str">
        <f aca="false">IF(OR(B597="",E597&lt;&gt;"Yes"),"",IFERROR(INDEX(Clients!$F$6:$F$25,MATCH(B597,Clients!$B$6:$B$25,0)),""))</f>
        <v/>
      </c>
      <c r="G597" s="73" t="str">
        <f aca="false">IF(AND(ISNUMBER(D597),ISNUMBER(F597)),D597*F597,"")</f>
        <v/>
      </c>
      <c r="H597" s="51"/>
      <c r="I597" s="51"/>
    </row>
    <row r="598" customFormat="false" ht="15" hidden="false" customHeight="false" outlineLevel="0" collapsed="false">
      <c r="A598" s="65"/>
      <c r="B598" s="51"/>
      <c r="C598" s="51"/>
      <c r="D598" s="72"/>
      <c r="E598" s="51"/>
      <c r="F598" s="35" t="str">
        <f aca="false">IF(OR(B598="",E598&lt;&gt;"Yes"),"",IFERROR(INDEX(Clients!$F$6:$F$25,MATCH(B598,Clients!$B$6:$B$25,0)),""))</f>
        <v/>
      </c>
      <c r="G598" s="73" t="str">
        <f aca="false">IF(AND(ISNUMBER(D598),ISNUMBER(F598)),D598*F598,"")</f>
        <v/>
      </c>
      <c r="H598" s="51"/>
      <c r="I598" s="51"/>
    </row>
    <row r="599" customFormat="false" ht="15" hidden="false" customHeight="false" outlineLevel="0" collapsed="false">
      <c r="A599" s="65"/>
      <c r="B599" s="51"/>
      <c r="C599" s="51"/>
      <c r="D599" s="72"/>
      <c r="E599" s="51"/>
      <c r="F599" s="35" t="str">
        <f aca="false">IF(OR(B599="",E599&lt;&gt;"Yes"),"",IFERROR(INDEX(Clients!$F$6:$F$25,MATCH(B599,Clients!$B$6:$B$25,0)),""))</f>
        <v/>
      </c>
      <c r="G599" s="73" t="str">
        <f aca="false">IF(AND(ISNUMBER(D599),ISNUMBER(F599)),D599*F599,"")</f>
        <v/>
      </c>
      <c r="H599" s="51"/>
      <c r="I599" s="51"/>
    </row>
    <row r="600" customFormat="false" ht="15" hidden="false" customHeight="false" outlineLevel="0" collapsed="false">
      <c r="A600" s="65"/>
      <c r="B600" s="51"/>
      <c r="C600" s="51"/>
      <c r="D600" s="72"/>
      <c r="E600" s="51"/>
      <c r="F600" s="35" t="str">
        <f aca="false">IF(OR(B600="",E600&lt;&gt;"Yes"),"",IFERROR(INDEX(Clients!$F$6:$F$25,MATCH(B600,Clients!$B$6:$B$25,0)),""))</f>
        <v/>
      </c>
      <c r="G600" s="73" t="str">
        <f aca="false">IF(AND(ISNUMBER(D600),ISNUMBER(F600)),D600*F600,"")</f>
        <v/>
      </c>
      <c r="H600" s="51"/>
      <c r="I600" s="51"/>
    </row>
    <row r="601" customFormat="false" ht="15" hidden="false" customHeight="false" outlineLevel="0" collapsed="false">
      <c r="A601" s="65"/>
      <c r="B601" s="51"/>
      <c r="C601" s="51"/>
      <c r="D601" s="72"/>
      <c r="E601" s="51"/>
      <c r="F601" s="35" t="str">
        <f aca="false">IF(OR(B601="",E601&lt;&gt;"Yes"),"",IFERROR(INDEX(Clients!$F$6:$F$25,MATCH(B601,Clients!$B$6:$B$25,0)),""))</f>
        <v/>
      </c>
      <c r="G601" s="73" t="str">
        <f aca="false">IF(AND(ISNUMBER(D601),ISNUMBER(F601)),D601*F601,"")</f>
        <v/>
      </c>
      <c r="H601" s="51"/>
      <c r="I601" s="51"/>
    </row>
    <row r="602" customFormat="false" ht="15" hidden="false" customHeight="false" outlineLevel="0" collapsed="false">
      <c r="A602" s="65"/>
      <c r="B602" s="51"/>
      <c r="C602" s="51"/>
      <c r="D602" s="72"/>
      <c r="E602" s="51"/>
      <c r="F602" s="35" t="str">
        <f aca="false">IF(OR(B602="",E602&lt;&gt;"Yes"),"",IFERROR(INDEX(Clients!$F$6:$F$25,MATCH(B602,Clients!$B$6:$B$25,0)),""))</f>
        <v/>
      </c>
      <c r="G602" s="73" t="str">
        <f aca="false">IF(AND(ISNUMBER(D602),ISNUMBER(F602)),D602*F602,"")</f>
        <v/>
      </c>
      <c r="H602" s="51"/>
      <c r="I602" s="51"/>
    </row>
    <row r="603" customFormat="false" ht="15" hidden="false" customHeight="false" outlineLevel="0" collapsed="false">
      <c r="A603" s="65"/>
      <c r="B603" s="51"/>
      <c r="C603" s="51"/>
      <c r="D603" s="72"/>
      <c r="E603" s="51"/>
      <c r="F603" s="35" t="str">
        <f aca="false">IF(OR(B603="",E603&lt;&gt;"Yes"),"",IFERROR(INDEX(Clients!$F$6:$F$25,MATCH(B603,Clients!$B$6:$B$25,0)),""))</f>
        <v/>
      </c>
      <c r="G603" s="73" t="str">
        <f aca="false">IF(AND(ISNUMBER(D603),ISNUMBER(F603)),D603*F603,"")</f>
        <v/>
      </c>
      <c r="H603" s="51"/>
      <c r="I603" s="51"/>
    </row>
    <row r="604" customFormat="false" ht="15" hidden="false" customHeight="false" outlineLevel="0" collapsed="false">
      <c r="A604" s="65"/>
      <c r="B604" s="51"/>
      <c r="C604" s="51"/>
      <c r="D604" s="72"/>
      <c r="E604" s="51"/>
      <c r="F604" s="35" t="str">
        <f aca="false">IF(OR(B604="",E604&lt;&gt;"Yes"),"",IFERROR(INDEX(Clients!$F$6:$F$25,MATCH(B604,Clients!$B$6:$B$25,0)),""))</f>
        <v/>
      </c>
      <c r="G604" s="73" t="str">
        <f aca="false">IF(AND(ISNUMBER(D604),ISNUMBER(F604)),D604*F604,"")</f>
        <v/>
      </c>
      <c r="H604" s="51"/>
      <c r="I604" s="51"/>
    </row>
    <row r="605" customFormat="false" ht="15" hidden="false" customHeight="false" outlineLevel="0" collapsed="false">
      <c r="A605" s="65"/>
      <c r="B605" s="51"/>
      <c r="C605" s="51"/>
      <c r="D605" s="72"/>
      <c r="E605" s="51"/>
      <c r="F605" s="35" t="str">
        <f aca="false">IF(OR(B605="",E605&lt;&gt;"Yes"),"",IFERROR(INDEX(Clients!$F$6:$F$25,MATCH(B605,Clients!$B$6:$B$25,0)),""))</f>
        <v/>
      </c>
      <c r="G605" s="73" t="str">
        <f aca="false">IF(AND(ISNUMBER(D605),ISNUMBER(F605)),D605*F605,"")</f>
        <v/>
      </c>
      <c r="H605" s="51"/>
      <c r="I605" s="51"/>
    </row>
    <row r="606" customFormat="false" ht="15" hidden="false" customHeight="false" outlineLevel="0" collapsed="false">
      <c r="A606" s="65"/>
      <c r="B606" s="51"/>
      <c r="C606" s="51"/>
      <c r="D606" s="72"/>
      <c r="E606" s="51"/>
      <c r="F606" s="35" t="str">
        <f aca="false">IF(OR(B606="",E606&lt;&gt;"Yes"),"",IFERROR(INDEX(Clients!$F$6:$F$25,MATCH(B606,Clients!$B$6:$B$25,0)),""))</f>
        <v/>
      </c>
      <c r="G606" s="73" t="str">
        <f aca="false">IF(AND(ISNUMBER(D606),ISNUMBER(F606)),D606*F606,"")</f>
        <v/>
      </c>
      <c r="H606" s="51"/>
      <c r="I606" s="51"/>
    </row>
    <row r="607" customFormat="false" ht="15" hidden="false" customHeight="false" outlineLevel="0" collapsed="false">
      <c r="A607" s="65"/>
      <c r="B607" s="51"/>
      <c r="C607" s="51"/>
      <c r="D607" s="72"/>
      <c r="E607" s="51"/>
      <c r="F607" s="35" t="str">
        <f aca="false">IF(OR(B607="",E607&lt;&gt;"Yes"),"",IFERROR(INDEX(Clients!$F$6:$F$25,MATCH(B607,Clients!$B$6:$B$25,0)),""))</f>
        <v/>
      </c>
      <c r="G607" s="73" t="str">
        <f aca="false">IF(AND(ISNUMBER(D607),ISNUMBER(F607)),D607*F607,"")</f>
        <v/>
      </c>
      <c r="H607" s="51"/>
      <c r="I607" s="51"/>
    </row>
    <row r="608" customFormat="false" ht="15" hidden="false" customHeight="false" outlineLevel="0" collapsed="false">
      <c r="A608" s="65"/>
      <c r="B608" s="51"/>
      <c r="C608" s="51"/>
      <c r="D608" s="72"/>
      <c r="E608" s="51"/>
      <c r="F608" s="35" t="str">
        <f aca="false">IF(OR(B608="",E608&lt;&gt;"Yes"),"",IFERROR(INDEX(Clients!$F$6:$F$25,MATCH(B608,Clients!$B$6:$B$25,0)),""))</f>
        <v/>
      </c>
      <c r="G608" s="73" t="str">
        <f aca="false">IF(AND(ISNUMBER(D608),ISNUMBER(F608)),D608*F608,"")</f>
        <v/>
      </c>
      <c r="H608" s="51"/>
      <c r="I608" s="51"/>
    </row>
    <row r="609" customFormat="false" ht="15" hidden="false" customHeight="false" outlineLevel="0" collapsed="false">
      <c r="A609" s="65"/>
      <c r="B609" s="51"/>
      <c r="C609" s="51"/>
      <c r="D609" s="72"/>
      <c r="E609" s="51"/>
      <c r="F609" s="35" t="str">
        <f aca="false">IF(OR(B609="",E609&lt;&gt;"Yes"),"",IFERROR(INDEX(Clients!$F$6:$F$25,MATCH(B609,Clients!$B$6:$B$25,0)),""))</f>
        <v/>
      </c>
      <c r="G609" s="73" t="str">
        <f aca="false">IF(AND(ISNUMBER(D609),ISNUMBER(F609)),D609*F609,"")</f>
        <v/>
      </c>
      <c r="H609" s="51"/>
      <c r="I609" s="51"/>
    </row>
    <row r="610" customFormat="false" ht="15" hidden="false" customHeight="false" outlineLevel="0" collapsed="false">
      <c r="A610" s="65"/>
      <c r="B610" s="51"/>
      <c r="C610" s="51"/>
      <c r="D610" s="72"/>
      <c r="E610" s="51"/>
      <c r="F610" s="35" t="str">
        <f aca="false">IF(OR(B610="",E610&lt;&gt;"Yes"),"",IFERROR(INDEX(Clients!$F$6:$F$25,MATCH(B610,Clients!$B$6:$B$25,0)),""))</f>
        <v/>
      </c>
      <c r="G610" s="73" t="str">
        <f aca="false">IF(AND(ISNUMBER(D610),ISNUMBER(F610)),D610*F610,"")</f>
        <v/>
      </c>
      <c r="H610" s="51"/>
      <c r="I610" s="51"/>
    </row>
    <row r="611" customFormat="false" ht="15" hidden="false" customHeight="false" outlineLevel="0" collapsed="false">
      <c r="A611" s="65"/>
      <c r="B611" s="51"/>
      <c r="C611" s="51"/>
      <c r="D611" s="72"/>
      <c r="E611" s="51"/>
      <c r="F611" s="35" t="str">
        <f aca="false">IF(OR(B611="",E611&lt;&gt;"Yes"),"",IFERROR(INDEX(Clients!$F$6:$F$25,MATCH(B611,Clients!$B$6:$B$25,0)),""))</f>
        <v/>
      </c>
      <c r="G611" s="73" t="str">
        <f aca="false">IF(AND(ISNUMBER(D611),ISNUMBER(F611)),D611*F611,"")</f>
        <v/>
      </c>
      <c r="H611" s="51"/>
      <c r="I611" s="51"/>
    </row>
    <row r="612" customFormat="false" ht="15" hidden="false" customHeight="false" outlineLevel="0" collapsed="false">
      <c r="A612" s="65"/>
      <c r="B612" s="51"/>
      <c r="C612" s="51"/>
      <c r="D612" s="72"/>
      <c r="E612" s="51"/>
      <c r="F612" s="35" t="str">
        <f aca="false">IF(OR(B612="",E612&lt;&gt;"Yes"),"",IFERROR(INDEX(Clients!$F$6:$F$25,MATCH(B612,Clients!$B$6:$B$25,0)),""))</f>
        <v/>
      </c>
      <c r="G612" s="73" t="str">
        <f aca="false">IF(AND(ISNUMBER(D612),ISNUMBER(F612)),D612*F612,"")</f>
        <v/>
      </c>
      <c r="H612" s="51"/>
      <c r="I612" s="51"/>
    </row>
    <row r="613" customFormat="false" ht="15" hidden="false" customHeight="false" outlineLevel="0" collapsed="false">
      <c r="A613" s="65"/>
      <c r="B613" s="51"/>
      <c r="C613" s="51"/>
      <c r="D613" s="72"/>
      <c r="E613" s="51"/>
      <c r="F613" s="35" t="str">
        <f aca="false">IF(OR(B613="",E613&lt;&gt;"Yes"),"",IFERROR(INDEX(Clients!$F$6:$F$25,MATCH(B613,Clients!$B$6:$B$25,0)),""))</f>
        <v/>
      </c>
      <c r="G613" s="73" t="str">
        <f aca="false">IF(AND(ISNUMBER(D613),ISNUMBER(F613)),D613*F613,"")</f>
        <v/>
      </c>
      <c r="H613" s="51"/>
      <c r="I613" s="51"/>
    </row>
    <row r="614" customFormat="false" ht="15" hidden="false" customHeight="false" outlineLevel="0" collapsed="false">
      <c r="A614" s="65"/>
      <c r="B614" s="51"/>
      <c r="C614" s="51"/>
      <c r="D614" s="72"/>
      <c r="E614" s="51"/>
      <c r="F614" s="35" t="str">
        <f aca="false">IF(OR(B614="",E614&lt;&gt;"Yes"),"",IFERROR(INDEX(Clients!$F$6:$F$25,MATCH(B614,Clients!$B$6:$B$25,0)),""))</f>
        <v/>
      </c>
      <c r="G614" s="73" t="str">
        <f aca="false">IF(AND(ISNUMBER(D614),ISNUMBER(F614)),D614*F614,"")</f>
        <v/>
      </c>
      <c r="H614" s="51"/>
      <c r="I614" s="51"/>
    </row>
    <row r="615" customFormat="false" ht="15" hidden="false" customHeight="false" outlineLevel="0" collapsed="false">
      <c r="A615" s="65"/>
      <c r="B615" s="51"/>
      <c r="C615" s="51"/>
      <c r="D615" s="72"/>
      <c r="E615" s="51"/>
      <c r="F615" s="35" t="str">
        <f aca="false">IF(OR(B615="",E615&lt;&gt;"Yes"),"",IFERROR(INDEX(Clients!$F$6:$F$25,MATCH(B615,Clients!$B$6:$B$25,0)),""))</f>
        <v/>
      </c>
      <c r="G615" s="73" t="str">
        <f aca="false">IF(AND(ISNUMBER(D615),ISNUMBER(F615)),D615*F615,"")</f>
        <v/>
      </c>
      <c r="H615" s="51"/>
      <c r="I615" s="51"/>
    </row>
    <row r="616" customFormat="false" ht="15" hidden="false" customHeight="false" outlineLevel="0" collapsed="false">
      <c r="A616" s="65"/>
      <c r="B616" s="51"/>
      <c r="C616" s="51"/>
      <c r="D616" s="72"/>
      <c r="E616" s="51"/>
      <c r="F616" s="35" t="str">
        <f aca="false">IF(OR(B616="",E616&lt;&gt;"Yes"),"",IFERROR(INDEX(Clients!$F$6:$F$25,MATCH(B616,Clients!$B$6:$B$25,0)),""))</f>
        <v/>
      </c>
      <c r="G616" s="73" t="str">
        <f aca="false">IF(AND(ISNUMBER(D616),ISNUMBER(F616)),D616*F616,"")</f>
        <v/>
      </c>
      <c r="H616" s="51"/>
      <c r="I616" s="51"/>
    </row>
    <row r="617" customFormat="false" ht="15" hidden="false" customHeight="false" outlineLevel="0" collapsed="false">
      <c r="A617" s="65"/>
      <c r="B617" s="51"/>
      <c r="C617" s="51"/>
      <c r="D617" s="72"/>
      <c r="E617" s="51"/>
      <c r="F617" s="35" t="str">
        <f aca="false">IF(OR(B617="",E617&lt;&gt;"Yes"),"",IFERROR(INDEX(Clients!$F$6:$F$25,MATCH(B617,Clients!$B$6:$B$25,0)),""))</f>
        <v/>
      </c>
      <c r="G617" s="73" t="str">
        <f aca="false">IF(AND(ISNUMBER(D617),ISNUMBER(F617)),D617*F617,"")</f>
        <v/>
      </c>
      <c r="H617" s="51"/>
      <c r="I617" s="51"/>
    </row>
    <row r="618" customFormat="false" ht="15" hidden="false" customHeight="false" outlineLevel="0" collapsed="false">
      <c r="A618" s="65"/>
      <c r="B618" s="51"/>
      <c r="C618" s="51"/>
      <c r="D618" s="72"/>
      <c r="E618" s="51"/>
      <c r="F618" s="35" t="str">
        <f aca="false">IF(OR(B618="",E618&lt;&gt;"Yes"),"",IFERROR(INDEX(Clients!$F$6:$F$25,MATCH(B618,Clients!$B$6:$B$25,0)),""))</f>
        <v/>
      </c>
      <c r="G618" s="73" t="str">
        <f aca="false">IF(AND(ISNUMBER(D618),ISNUMBER(F618)),D618*F618,"")</f>
        <v/>
      </c>
      <c r="H618" s="51"/>
      <c r="I618" s="51"/>
    </row>
    <row r="619" customFormat="false" ht="15" hidden="false" customHeight="false" outlineLevel="0" collapsed="false">
      <c r="A619" s="65"/>
      <c r="B619" s="51"/>
      <c r="C619" s="51"/>
      <c r="D619" s="72"/>
      <c r="E619" s="51"/>
      <c r="F619" s="35" t="str">
        <f aca="false">IF(OR(B619="",E619&lt;&gt;"Yes"),"",IFERROR(INDEX(Clients!$F$6:$F$25,MATCH(B619,Clients!$B$6:$B$25,0)),""))</f>
        <v/>
      </c>
      <c r="G619" s="73" t="str">
        <f aca="false">IF(AND(ISNUMBER(D619),ISNUMBER(F619)),D619*F619,"")</f>
        <v/>
      </c>
      <c r="H619" s="51"/>
      <c r="I619" s="51"/>
    </row>
    <row r="620" customFormat="false" ht="15" hidden="false" customHeight="false" outlineLevel="0" collapsed="false">
      <c r="A620" s="65"/>
      <c r="B620" s="51"/>
      <c r="C620" s="51"/>
      <c r="D620" s="72"/>
      <c r="E620" s="51"/>
      <c r="F620" s="35" t="str">
        <f aca="false">IF(OR(B620="",E620&lt;&gt;"Yes"),"",IFERROR(INDEX(Clients!$F$6:$F$25,MATCH(B620,Clients!$B$6:$B$25,0)),""))</f>
        <v/>
      </c>
      <c r="G620" s="73" t="str">
        <f aca="false">IF(AND(ISNUMBER(D620),ISNUMBER(F620)),D620*F620,"")</f>
        <v/>
      </c>
      <c r="H620" s="51"/>
      <c r="I620" s="51"/>
    </row>
    <row r="621" customFormat="false" ht="15" hidden="false" customHeight="false" outlineLevel="0" collapsed="false">
      <c r="A621" s="65"/>
      <c r="B621" s="51"/>
      <c r="C621" s="51"/>
      <c r="D621" s="72"/>
      <c r="E621" s="51"/>
      <c r="F621" s="35" t="str">
        <f aca="false">IF(OR(B621="",E621&lt;&gt;"Yes"),"",IFERROR(INDEX(Clients!$F$6:$F$25,MATCH(B621,Clients!$B$6:$B$25,0)),""))</f>
        <v/>
      </c>
      <c r="G621" s="73" t="str">
        <f aca="false">IF(AND(ISNUMBER(D621),ISNUMBER(F621)),D621*F621,"")</f>
        <v/>
      </c>
      <c r="H621" s="51"/>
      <c r="I621" s="51"/>
    </row>
    <row r="622" customFormat="false" ht="15" hidden="false" customHeight="false" outlineLevel="0" collapsed="false">
      <c r="A622" s="65"/>
      <c r="B622" s="51"/>
      <c r="C622" s="51"/>
      <c r="D622" s="72"/>
      <c r="E622" s="51"/>
      <c r="F622" s="35" t="str">
        <f aca="false">IF(OR(B622="",E622&lt;&gt;"Yes"),"",IFERROR(INDEX(Clients!$F$6:$F$25,MATCH(B622,Clients!$B$6:$B$25,0)),""))</f>
        <v/>
      </c>
      <c r="G622" s="73" t="str">
        <f aca="false">IF(AND(ISNUMBER(D622),ISNUMBER(F622)),D622*F622,"")</f>
        <v/>
      </c>
      <c r="H622" s="51"/>
      <c r="I622" s="51"/>
    </row>
    <row r="623" customFormat="false" ht="15" hidden="false" customHeight="false" outlineLevel="0" collapsed="false">
      <c r="A623" s="65"/>
      <c r="B623" s="51"/>
      <c r="C623" s="51"/>
      <c r="D623" s="72"/>
      <c r="E623" s="51"/>
      <c r="F623" s="35" t="str">
        <f aca="false">IF(OR(B623="",E623&lt;&gt;"Yes"),"",IFERROR(INDEX(Clients!$F$6:$F$25,MATCH(B623,Clients!$B$6:$B$25,0)),""))</f>
        <v/>
      </c>
      <c r="G623" s="73" t="str">
        <f aca="false">IF(AND(ISNUMBER(D623),ISNUMBER(F623)),D623*F623,"")</f>
        <v/>
      </c>
      <c r="H623" s="51"/>
      <c r="I623" s="51"/>
    </row>
    <row r="624" customFormat="false" ht="15" hidden="false" customHeight="false" outlineLevel="0" collapsed="false">
      <c r="A624" s="65"/>
      <c r="B624" s="51"/>
      <c r="C624" s="51"/>
      <c r="D624" s="72"/>
      <c r="E624" s="51"/>
      <c r="F624" s="35" t="str">
        <f aca="false">IF(OR(B624="",E624&lt;&gt;"Yes"),"",IFERROR(INDEX(Clients!$F$6:$F$25,MATCH(B624,Clients!$B$6:$B$25,0)),""))</f>
        <v/>
      </c>
      <c r="G624" s="73" t="str">
        <f aca="false">IF(AND(ISNUMBER(D624),ISNUMBER(F624)),D624*F624,"")</f>
        <v/>
      </c>
      <c r="H624" s="51"/>
      <c r="I624" s="51"/>
    </row>
    <row r="625" customFormat="false" ht="15" hidden="false" customHeight="false" outlineLevel="0" collapsed="false">
      <c r="A625" s="65"/>
      <c r="B625" s="51"/>
      <c r="C625" s="51"/>
      <c r="D625" s="72"/>
      <c r="E625" s="51"/>
      <c r="F625" s="35" t="str">
        <f aca="false">IF(OR(B625="",E625&lt;&gt;"Yes"),"",IFERROR(INDEX(Clients!$F$6:$F$25,MATCH(B625,Clients!$B$6:$B$25,0)),""))</f>
        <v/>
      </c>
      <c r="G625" s="73" t="str">
        <f aca="false">IF(AND(ISNUMBER(D625),ISNUMBER(F625)),D625*F625,"")</f>
        <v/>
      </c>
      <c r="H625" s="51"/>
      <c r="I625" s="51"/>
    </row>
    <row r="626" customFormat="false" ht="15" hidden="false" customHeight="false" outlineLevel="0" collapsed="false">
      <c r="A626" s="65"/>
      <c r="B626" s="51"/>
      <c r="C626" s="51"/>
      <c r="D626" s="72"/>
      <c r="E626" s="51"/>
      <c r="F626" s="35" t="str">
        <f aca="false">IF(OR(B626="",E626&lt;&gt;"Yes"),"",IFERROR(INDEX(Clients!$F$6:$F$25,MATCH(B626,Clients!$B$6:$B$25,0)),""))</f>
        <v/>
      </c>
      <c r="G626" s="73" t="str">
        <f aca="false">IF(AND(ISNUMBER(D626),ISNUMBER(F626)),D626*F626,"")</f>
        <v/>
      </c>
      <c r="H626" s="51"/>
      <c r="I626" s="51"/>
    </row>
    <row r="627" customFormat="false" ht="15" hidden="false" customHeight="false" outlineLevel="0" collapsed="false">
      <c r="A627" s="65"/>
      <c r="B627" s="51"/>
      <c r="C627" s="51"/>
      <c r="D627" s="72"/>
      <c r="E627" s="51"/>
      <c r="F627" s="35" t="str">
        <f aca="false">IF(OR(B627="",E627&lt;&gt;"Yes"),"",IFERROR(INDEX(Clients!$F$6:$F$25,MATCH(B627,Clients!$B$6:$B$25,0)),""))</f>
        <v/>
      </c>
      <c r="G627" s="73" t="str">
        <f aca="false">IF(AND(ISNUMBER(D627),ISNUMBER(F627)),D627*F627,"")</f>
        <v/>
      </c>
      <c r="H627" s="51"/>
      <c r="I627" s="51"/>
    </row>
    <row r="628" customFormat="false" ht="15" hidden="false" customHeight="false" outlineLevel="0" collapsed="false">
      <c r="A628" s="65"/>
      <c r="B628" s="51"/>
      <c r="C628" s="51"/>
      <c r="D628" s="72"/>
      <c r="E628" s="51"/>
      <c r="F628" s="35" t="str">
        <f aca="false">IF(OR(B628="",E628&lt;&gt;"Yes"),"",IFERROR(INDEX(Clients!$F$6:$F$25,MATCH(B628,Clients!$B$6:$B$25,0)),""))</f>
        <v/>
      </c>
      <c r="G628" s="73" t="str">
        <f aca="false">IF(AND(ISNUMBER(D628),ISNUMBER(F628)),D628*F628,"")</f>
        <v/>
      </c>
      <c r="H628" s="51"/>
      <c r="I628" s="51"/>
    </row>
    <row r="629" customFormat="false" ht="15" hidden="false" customHeight="false" outlineLevel="0" collapsed="false">
      <c r="A629" s="65"/>
      <c r="B629" s="51"/>
      <c r="C629" s="51"/>
      <c r="D629" s="72"/>
      <c r="E629" s="51"/>
      <c r="F629" s="35" t="str">
        <f aca="false">IF(OR(B629="",E629&lt;&gt;"Yes"),"",IFERROR(INDEX(Clients!$F$6:$F$25,MATCH(B629,Clients!$B$6:$B$25,0)),""))</f>
        <v/>
      </c>
      <c r="G629" s="73" t="str">
        <f aca="false">IF(AND(ISNUMBER(D629),ISNUMBER(F629)),D629*F629,"")</f>
        <v/>
      </c>
      <c r="H629" s="51"/>
      <c r="I629" s="51"/>
    </row>
    <row r="630" customFormat="false" ht="15" hidden="false" customHeight="false" outlineLevel="0" collapsed="false">
      <c r="A630" s="65"/>
      <c r="B630" s="51"/>
      <c r="C630" s="51"/>
      <c r="D630" s="72"/>
      <c r="E630" s="51"/>
      <c r="F630" s="35" t="str">
        <f aca="false">IF(OR(B630="",E630&lt;&gt;"Yes"),"",IFERROR(INDEX(Clients!$F$6:$F$25,MATCH(B630,Clients!$B$6:$B$25,0)),""))</f>
        <v/>
      </c>
      <c r="G630" s="73" t="str">
        <f aca="false">IF(AND(ISNUMBER(D630),ISNUMBER(F630)),D630*F630,"")</f>
        <v/>
      </c>
      <c r="H630" s="51"/>
      <c r="I630" s="51"/>
    </row>
    <row r="631" customFormat="false" ht="15" hidden="false" customHeight="false" outlineLevel="0" collapsed="false">
      <c r="A631" s="65"/>
      <c r="B631" s="51"/>
      <c r="C631" s="51"/>
      <c r="D631" s="72"/>
      <c r="E631" s="51"/>
      <c r="F631" s="35" t="str">
        <f aca="false">IF(OR(B631="",E631&lt;&gt;"Yes"),"",IFERROR(INDEX(Clients!$F$6:$F$25,MATCH(B631,Clients!$B$6:$B$25,0)),""))</f>
        <v/>
      </c>
      <c r="G631" s="73" t="str">
        <f aca="false">IF(AND(ISNUMBER(D631),ISNUMBER(F631)),D631*F631,"")</f>
        <v/>
      </c>
      <c r="H631" s="51"/>
      <c r="I631" s="51"/>
    </row>
    <row r="632" customFormat="false" ht="15" hidden="false" customHeight="false" outlineLevel="0" collapsed="false">
      <c r="A632" s="65"/>
      <c r="B632" s="51"/>
      <c r="C632" s="51"/>
      <c r="D632" s="72"/>
      <c r="E632" s="51"/>
      <c r="F632" s="35" t="str">
        <f aca="false">IF(OR(B632="",E632&lt;&gt;"Yes"),"",IFERROR(INDEX(Clients!$F$6:$F$25,MATCH(B632,Clients!$B$6:$B$25,0)),""))</f>
        <v/>
      </c>
      <c r="G632" s="73" t="str">
        <f aca="false">IF(AND(ISNUMBER(D632),ISNUMBER(F632)),D632*F632,"")</f>
        <v/>
      </c>
      <c r="H632" s="51"/>
      <c r="I632" s="51"/>
    </row>
    <row r="633" customFormat="false" ht="15" hidden="false" customHeight="false" outlineLevel="0" collapsed="false">
      <c r="A633" s="65"/>
      <c r="B633" s="51"/>
      <c r="C633" s="51"/>
      <c r="D633" s="72"/>
      <c r="E633" s="51"/>
      <c r="F633" s="35" t="str">
        <f aca="false">IF(OR(B633="",E633&lt;&gt;"Yes"),"",IFERROR(INDEX(Clients!$F$6:$F$25,MATCH(B633,Clients!$B$6:$B$25,0)),""))</f>
        <v/>
      </c>
      <c r="G633" s="73" t="str">
        <f aca="false">IF(AND(ISNUMBER(D633),ISNUMBER(F633)),D633*F633,"")</f>
        <v/>
      </c>
      <c r="H633" s="51"/>
      <c r="I633" s="51"/>
    </row>
    <row r="634" customFormat="false" ht="15" hidden="false" customHeight="false" outlineLevel="0" collapsed="false">
      <c r="A634" s="65"/>
      <c r="B634" s="51"/>
      <c r="C634" s="51"/>
      <c r="D634" s="72"/>
      <c r="E634" s="51"/>
      <c r="F634" s="35" t="str">
        <f aca="false">IF(OR(B634="",E634&lt;&gt;"Yes"),"",IFERROR(INDEX(Clients!$F$6:$F$25,MATCH(B634,Clients!$B$6:$B$25,0)),""))</f>
        <v/>
      </c>
      <c r="G634" s="73" t="str">
        <f aca="false">IF(AND(ISNUMBER(D634),ISNUMBER(F634)),D634*F634,"")</f>
        <v/>
      </c>
      <c r="H634" s="51"/>
      <c r="I634" s="51"/>
    </row>
    <row r="635" customFormat="false" ht="15" hidden="false" customHeight="false" outlineLevel="0" collapsed="false">
      <c r="A635" s="65"/>
      <c r="B635" s="51"/>
      <c r="C635" s="51"/>
      <c r="D635" s="72"/>
      <c r="E635" s="51"/>
      <c r="F635" s="35" t="str">
        <f aca="false">IF(OR(B635="",E635&lt;&gt;"Yes"),"",IFERROR(INDEX(Clients!$F$6:$F$25,MATCH(B635,Clients!$B$6:$B$25,0)),""))</f>
        <v/>
      </c>
      <c r="G635" s="73" t="str">
        <f aca="false">IF(AND(ISNUMBER(D635),ISNUMBER(F635)),D635*F635,"")</f>
        <v/>
      </c>
      <c r="H635" s="51"/>
      <c r="I635" s="51"/>
    </row>
    <row r="636" customFormat="false" ht="15" hidden="false" customHeight="false" outlineLevel="0" collapsed="false">
      <c r="A636" s="65"/>
      <c r="B636" s="51"/>
      <c r="C636" s="51"/>
      <c r="D636" s="72"/>
      <c r="E636" s="51"/>
      <c r="F636" s="35" t="str">
        <f aca="false">IF(OR(B636="",E636&lt;&gt;"Yes"),"",IFERROR(INDEX(Clients!$F$6:$F$25,MATCH(B636,Clients!$B$6:$B$25,0)),""))</f>
        <v/>
      </c>
      <c r="G636" s="73" t="str">
        <f aca="false">IF(AND(ISNUMBER(D636),ISNUMBER(F636)),D636*F636,"")</f>
        <v/>
      </c>
      <c r="H636" s="51"/>
      <c r="I636" s="51"/>
    </row>
    <row r="637" customFormat="false" ht="15" hidden="false" customHeight="false" outlineLevel="0" collapsed="false">
      <c r="A637" s="65"/>
      <c r="B637" s="51"/>
      <c r="C637" s="51"/>
      <c r="D637" s="72"/>
      <c r="E637" s="51"/>
      <c r="F637" s="35" t="str">
        <f aca="false">IF(OR(B637="",E637&lt;&gt;"Yes"),"",IFERROR(INDEX(Clients!$F$6:$F$25,MATCH(B637,Clients!$B$6:$B$25,0)),""))</f>
        <v/>
      </c>
      <c r="G637" s="73" t="str">
        <f aca="false">IF(AND(ISNUMBER(D637),ISNUMBER(F637)),D637*F637,"")</f>
        <v/>
      </c>
      <c r="H637" s="51"/>
      <c r="I637" s="51"/>
    </row>
    <row r="638" customFormat="false" ht="15" hidden="false" customHeight="false" outlineLevel="0" collapsed="false">
      <c r="A638" s="65"/>
      <c r="B638" s="51"/>
      <c r="C638" s="51"/>
      <c r="D638" s="72"/>
      <c r="E638" s="51"/>
      <c r="F638" s="35" t="str">
        <f aca="false">IF(OR(B638="",E638&lt;&gt;"Yes"),"",IFERROR(INDEX(Clients!$F$6:$F$25,MATCH(B638,Clients!$B$6:$B$25,0)),""))</f>
        <v/>
      </c>
      <c r="G638" s="73" t="str">
        <f aca="false">IF(AND(ISNUMBER(D638),ISNUMBER(F638)),D638*F638,"")</f>
        <v/>
      </c>
      <c r="H638" s="51"/>
      <c r="I638" s="51"/>
    </row>
    <row r="639" customFormat="false" ht="15" hidden="false" customHeight="false" outlineLevel="0" collapsed="false">
      <c r="A639" s="65"/>
      <c r="B639" s="51"/>
      <c r="C639" s="51"/>
      <c r="D639" s="72"/>
      <c r="E639" s="51"/>
      <c r="F639" s="35" t="str">
        <f aca="false">IF(OR(B639="",E639&lt;&gt;"Yes"),"",IFERROR(INDEX(Clients!$F$6:$F$25,MATCH(B639,Clients!$B$6:$B$25,0)),""))</f>
        <v/>
      </c>
      <c r="G639" s="73" t="str">
        <f aca="false">IF(AND(ISNUMBER(D639),ISNUMBER(F639)),D639*F639,"")</f>
        <v/>
      </c>
      <c r="H639" s="51"/>
      <c r="I639" s="51"/>
    </row>
    <row r="640" customFormat="false" ht="15" hidden="false" customHeight="false" outlineLevel="0" collapsed="false">
      <c r="A640" s="65"/>
      <c r="B640" s="51"/>
      <c r="C640" s="51"/>
      <c r="D640" s="72"/>
      <c r="E640" s="51"/>
      <c r="F640" s="35" t="str">
        <f aca="false">IF(OR(B640="",E640&lt;&gt;"Yes"),"",IFERROR(INDEX(Clients!$F$6:$F$25,MATCH(B640,Clients!$B$6:$B$25,0)),""))</f>
        <v/>
      </c>
      <c r="G640" s="73" t="str">
        <f aca="false">IF(AND(ISNUMBER(D640),ISNUMBER(F640)),D640*F640,"")</f>
        <v/>
      </c>
      <c r="H640" s="51"/>
      <c r="I640" s="51"/>
    </row>
    <row r="641" customFormat="false" ht="15" hidden="false" customHeight="false" outlineLevel="0" collapsed="false">
      <c r="A641" s="65"/>
      <c r="B641" s="51"/>
      <c r="C641" s="51"/>
      <c r="D641" s="72"/>
      <c r="E641" s="51"/>
      <c r="F641" s="35" t="str">
        <f aca="false">IF(OR(B641="",E641&lt;&gt;"Yes"),"",IFERROR(INDEX(Clients!$F$6:$F$25,MATCH(B641,Clients!$B$6:$B$25,0)),""))</f>
        <v/>
      </c>
      <c r="G641" s="73" t="str">
        <f aca="false">IF(AND(ISNUMBER(D641),ISNUMBER(F641)),D641*F641,"")</f>
        <v/>
      </c>
      <c r="H641" s="51"/>
      <c r="I641" s="51"/>
    </row>
    <row r="642" customFormat="false" ht="15" hidden="false" customHeight="false" outlineLevel="0" collapsed="false">
      <c r="A642" s="65"/>
      <c r="B642" s="51"/>
      <c r="C642" s="51"/>
      <c r="D642" s="72"/>
      <c r="E642" s="51"/>
      <c r="F642" s="35" t="str">
        <f aca="false">IF(OR(B642="",E642&lt;&gt;"Yes"),"",IFERROR(INDEX(Clients!$F$6:$F$25,MATCH(B642,Clients!$B$6:$B$25,0)),""))</f>
        <v/>
      </c>
      <c r="G642" s="73" t="str">
        <f aca="false">IF(AND(ISNUMBER(D642),ISNUMBER(F642)),D642*F642,"")</f>
        <v/>
      </c>
      <c r="H642" s="51"/>
      <c r="I642" s="51"/>
    </row>
    <row r="643" customFormat="false" ht="15" hidden="false" customHeight="false" outlineLevel="0" collapsed="false">
      <c r="A643" s="65"/>
      <c r="B643" s="51"/>
      <c r="C643" s="51"/>
      <c r="D643" s="72"/>
      <c r="E643" s="51"/>
      <c r="F643" s="35" t="str">
        <f aca="false">IF(OR(B643="",E643&lt;&gt;"Yes"),"",IFERROR(INDEX(Clients!$F$6:$F$25,MATCH(B643,Clients!$B$6:$B$25,0)),""))</f>
        <v/>
      </c>
      <c r="G643" s="73" t="str">
        <f aca="false">IF(AND(ISNUMBER(D643),ISNUMBER(F643)),D643*F643,"")</f>
        <v/>
      </c>
      <c r="H643" s="51"/>
      <c r="I643" s="51"/>
    </row>
    <row r="644" customFormat="false" ht="15" hidden="false" customHeight="false" outlineLevel="0" collapsed="false">
      <c r="A644" s="65"/>
      <c r="B644" s="51"/>
      <c r="C644" s="51"/>
      <c r="D644" s="72"/>
      <c r="E644" s="51"/>
      <c r="F644" s="35" t="str">
        <f aca="false">IF(OR(B644="",E644&lt;&gt;"Yes"),"",IFERROR(INDEX(Clients!$F$6:$F$25,MATCH(B644,Clients!$B$6:$B$25,0)),""))</f>
        <v/>
      </c>
      <c r="G644" s="73" t="str">
        <f aca="false">IF(AND(ISNUMBER(D644),ISNUMBER(F644)),D644*F644,"")</f>
        <v/>
      </c>
      <c r="H644" s="51"/>
      <c r="I644" s="51"/>
    </row>
    <row r="645" customFormat="false" ht="15" hidden="false" customHeight="false" outlineLevel="0" collapsed="false">
      <c r="A645" s="65"/>
      <c r="B645" s="51"/>
      <c r="C645" s="51"/>
      <c r="D645" s="72"/>
      <c r="E645" s="51"/>
      <c r="F645" s="35" t="str">
        <f aca="false">IF(OR(B645="",E645&lt;&gt;"Yes"),"",IFERROR(INDEX(Clients!$F$6:$F$25,MATCH(B645,Clients!$B$6:$B$25,0)),""))</f>
        <v/>
      </c>
      <c r="G645" s="73" t="str">
        <f aca="false">IF(AND(ISNUMBER(D645),ISNUMBER(F645)),D645*F645,"")</f>
        <v/>
      </c>
      <c r="H645" s="51"/>
      <c r="I645" s="51"/>
    </row>
    <row r="646" customFormat="false" ht="15" hidden="false" customHeight="false" outlineLevel="0" collapsed="false">
      <c r="A646" s="65"/>
      <c r="B646" s="51"/>
      <c r="C646" s="51"/>
      <c r="D646" s="72"/>
      <c r="E646" s="51"/>
      <c r="F646" s="35" t="str">
        <f aca="false">IF(OR(B646="",E646&lt;&gt;"Yes"),"",IFERROR(INDEX(Clients!$F$6:$F$25,MATCH(B646,Clients!$B$6:$B$25,0)),""))</f>
        <v/>
      </c>
      <c r="G646" s="73" t="str">
        <f aca="false">IF(AND(ISNUMBER(D646),ISNUMBER(F646)),D646*F646,"")</f>
        <v/>
      </c>
      <c r="H646" s="51"/>
      <c r="I646" s="51"/>
    </row>
    <row r="647" customFormat="false" ht="15" hidden="false" customHeight="false" outlineLevel="0" collapsed="false">
      <c r="A647" s="65"/>
      <c r="B647" s="51"/>
      <c r="C647" s="51"/>
      <c r="D647" s="72"/>
      <c r="E647" s="51"/>
      <c r="F647" s="35" t="str">
        <f aca="false">IF(OR(B647="",E647&lt;&gt;"Yes"),"",IFERROR(INDEX(Clients!$F$6:$F$25,MATCH(B647,Clients!$B$6:$B$25,0)),""))</f>
        <v/>
      </c>
      <c r="G647" s="73" t="str">
        <f aca="false">IF(AND(ISNUMBER(D647),ISNUMBER(F647)),D647*F647,"")</f>
        <v/>
      </c>
      <c r="H647" s="51"/>
      <c r="I647" s="51"/>
    </row>
    <row r="648" customFormat="false" ht="15" hidden="false" customHeight="false" outlineLevel="0" collapsed="false">
      <c r="A648" s="65"/>
      <c r="B648" s="51"/>
      <c r="C648" s="51"/>
      <c r="D648" s="72"/>
      <c r="E648" s="51"/>
      <c r="F648" s="35" t="str">
        <f aca="false">IF(OR(B648="",E648&lt;&gt;"Yes"),"",IFERROR(INDEX(Clients!$F$6:$F$25,MATCH(B648,Clients!$B$6:$B$25,0)),""))</f>
        <v/>
      </c>
      <c r="G648" s="73" t="str">
        <f aca="false">IF(AND(ISNUMBER(D648),ISNUMBER(F648)),D648*F648,"")</f>
        <v/>
      </c>
      <c r="H648" s="51"/>
      <c r="I648" s="51"/>
    </row>
    <row r="649" customFormat="false" ht="15" hidden="false" customHeight="false" outlineLevel="0" collapsed="false">
      <c r="A649" s="65"/>
      <c r="B649" s="51"/>
      <c r="C649" s="51"/>
      <c r="D649" s="72"/>
      <c r="E649" s="51"/>
      <c r="F649" s="35" t="str">
        <f aca="false">IF(OR(B649="",E649&lt;&gt;"Yes"),"",IFERROR(INDEX(Clients!$F$6:$F$25,MATCH(B649,Clients!$B$6:$B$25,0)),""))</f>
        <v/>
      </c>
      <c r="G649" s="73" t="str">
        <f aca="false">IF(AND(ISNUMBER(D649),ISNUMBER(F649)),D649*F649,"")</f>
        <v/>
      </c>
      <c r="H649" s="51"/>
      <c r="I649" s="51"/>
    </row>
    <row r="650" customFormat="false" ht="15" hidden="false" customHeight="false" outlineLevel="0" collapsed="false">
      <c r="A650" s="65"/>
      <c r="B650" s="51"/>
      <c r="C650" s="51"/>
      <c r="D650" s="72"/>
      <c r="E650" s="51"/>
      <c r="F650" s="35" t="str">
        <f aca="false">IF(OR(B650="",E650&lt;&gt;"Yes"),"",IFERROR(INDEX(Clients!$F$6:$F$25,MATCH(B650,Clients!$B$6:$B$25,0)),""))</f>
        <v/>
      </c>
      <c r="G650" s="73" t="str">
        <f aca="false">IF(AND(ISNUMBER(D650),ISNUMBER(F650)),D650*F650,"")</f>
        <v/>
      </c>
      <c r="H650" s="51"/>
      <c r="I650" s="51"/>
    </row>
    <row r="651" customFormat="false" ht="15" hidden="false" customHeight="false" outlineLevel="0" collapsed="false">
      <c r="A651" s="65"/>
      <c r="B651" s="51"/>
      <c r="C651" s="51"/>
      <c r="D651" s="72"/>
      <c r="E651" s="51"/>
      <c r="F651" s="35" t="str">
        <f aca="false">IF(OR(B651="",E651&lt;&gt;"Yes"),"",IFERROR(INDEX(Clients!$F$6:$F$25,MATCH(B651,Clients!$B$6:$B$25,0)),""))</f>
        <v/>
      </c>
      <c r="G651" s="73" t="str">
        <f aca="false">IF(AND(ISNUMBER(D651),ISNUMBER(F651)),D651*F651,"")</f>
        <v/>
      </c>
      <c r="H651" s="51"/>
      <c r="I651" s="51"/>
    </row>
    <row r="652" customFormat="false" ht="15" hidden="false" customHeight="false" outlineLevel="0" collapsed="false">
      <c r="A652" s="65"/>
      <c r="B652" s="51"/>
      <c r="C652" s="51"/>
      <c r="D652" s="72"/>
      <c r="E652" s="51"/>
      <c r="F652" s="35" t="str">
        <f aca="false">IF(OR(B652="",E652&lt;&gt;"Yes"),"",IFERROR(INDEX(Clients!$F$6:$F$25,MATCH(B652,Clients!$B$6:$B$25,0)),""))</f>
        <v/>
      </c>
      <c r="G652" s="73" t="str">
        <f aca="false">IF(AND(ISNUMBER(D652),ISNUMBER(F652)),D652*F652,"")</f>
        <v/>
      </c>
      <c r="H652" s="51"/>
      <c r="I652" s="51"/>
    </row>
    <row r="653" customFormat="false" ht="15" hidden="false" customHeight="false" outlineLevel="0" collapsed="false">
      <c r="A653" s="65"/>
      <c r="B653" s="51"/>
      <c r="C653" s="51"/>
      <c r="D653" s="72"/>
      <c r="E653" s="51"/>
      <c r="F653" s="35" t="str">
        <f aca="false">IF(OR(B653="",E653&lt;&gt;"Yes"),"",IFERROR(INDEX(Clients!$F$6:$F$25,MATCH(B653,Clients!$B$6:$B$25,0)),""))</f>
        <v/>
      </c>
      <c r="G653" s="73" t="str">
        <f aca="false">IF(AND(ISNUMBER(D653),ISNUMBER(F653)),D653*F653,"")</f>
        <v/>
      </c>
      <c r="H653" s="51"/>
      <c r="I653" s="51"/>
    </row>
    <row r="654" customFormat="false" ht="15" hidden="false" customHeight="false" outlineLevel="0" collapsed="false">
      <c r="A654" s="65"/>
      <c r="B654" s="51"/>
      <c r="C654" s="51"/>
      <c r="D654" s="72"/>
      <c r="E654" s="51"/>
      <c r="F654" s="35" t="str">
        <f aca="false">IF(OR(B654="",E654&lt;&gt;"Yes"),"",IFERROR(INDEX(Clients!$F$6:$F$25,MATCH(B654,Clients!$B$6:$B$25,0)),""))</f>
        <v/>
      </c>
      <c r="G654" s="73" t="str">
        <f aca="false">IF(AND(ISNUMBER(D654),ISNUMBER(F654)),D654*F654,"")</f>
        <v/>
      </c>
      <c r="H654" s="51"/>
      <c r="I654" s="51"/>
    </row>
    <row r="655" customFormat="false" ht="15" hidden="false" customHeight="false" outlineLevel="0" collapsed="false">
      <c r="A655" s="65"/>
      <c r="B655" s="51"/>
      <c r="C655" s="51"/>
      <c r="D655" s="72"/>
      <c r="E655" s="51"/>
      <c r="F655" s="35" t="str">
        <f aca="false">IF(OR(B655="",E655&lt;&gt;"Yes"),"",IFERROR(INDEX(Clients!$F$6:$F$25,MATCH(B655,Clients!$B$6:$B$25,0)),""))</f>
        <v/>
      </c>
      <c r="G655" s="73" t="str">
        <f aca="false">IF(AND(ISNUMBER(D655),ISNUMBER(F655)),D655*F655,"")</f>
        <v/>
      </c>
      <c r="H655" s="51"/>
      <c r="I655" s="51"/>
    </row>
    <row r="656" customFormat="false" ht="15" hidden="false" customHeight="false" outlineLevel="0" collapsed="false">
      <c r="A656" s="65"/>
      <c r="B656" s="51"/>
      <c r="C656" s="51"/>
      <c r="D656" s="72"/>
      <c r="E656" s="51"/>
      <c r="F656" s="35" t="str">
        <f aca="false">IF(OR(B656="",E656&lt;&gt;"Yes"),"",IFERROR(INDEX(Clients!$F$6:$F$25,MATCH(B656,Clients!$B$6:$B$25,0)),""))</f>
        <v/>
      </c>
      <c r="G656" s="73" t="str">
        <f aca="false">IF(AND(ISNUMBER(D656),ISNUMBER(F656)),D656*F656,"")</f>
        <v/>
      </c>
      <c r="H656" s="51"/>
      <c r="I656" s="51"/>
    </row>
    <row r="657" customFormat="false" ht="15" hidden="false" customHeight="false" outlineLevel="0" collapsed="false">
      <c r="A657" s="65"/>
      <c r="B657" s="51"/>
      <c r="C657" s="51"/>
      <c r="D657" s="72"/>
      <c r="E657" s="51"/>
      <c r="F657" s="35" t="str">
        <f aca="false">IF(OR(B657="",E657&lt;&gt;"Yes"),"",IFERROR(INDEX(Clients!$F$6:$F$25,MATCH(B657,Clients!$B$6:$B$25,0)),""))</f>
        <v/>
      </c>
      <c r="G657" s="73" t="str">
        <f aca="false">IF(AND(ISNUMBER(D657),ISNUMBER(F657)),D657*F657,"")</f>
        <v/>
      </c>
      <c r="H657" s="51"/>
      <c r="I657" s="51"/>
    </row>
    <row r="658" customFormat="false" ht="15" hidden="false" customHeight="false" outlineLevel="0" collapsed="false">
      <c r="A658" s="65"/>
      <c r="B658" s="51"/>
      <c r="C658" s="51"/>
      <c r="D658" s="72"/>
      <c r="E658" s="51"/>
      <c r="F658" s="35" t="str">
        <f aca="false">IF(OR(B658="",E658&lt;&gt;"Yes"),"",IFERROR(INDEX(Clients!$F$6:$F$25,MATCH(B658,Clients!$B$6:$B$25,0)),""))</f>
        <v/>
      </c>
      <c r="G658" s="73" t="str">
        <f aca="false">IF(AND(ISNUMBER(D658),ISNUMBER(F658)),D658*F658,"")</f>
        <v/>
      </c>
      <c r="H658" s="51"/>
      <c r="I658" s="51"/>
    </row>
    <row r="659" customFormat="false" ht="15" hidden="false" customHeight="false" outlineLevel="0" collapsed="false">
      <c r="A659" s="65"/>
      <c r="B659" s="51"/>
      <c r="C659" s="51"/>
      <c r="D659" s="72"/>
      <c r="E659" s="51"/>
      <c r="F659" s="35" t="str">
        <f aca="false">IF(OR(B659="",E659&lt;&gt;"Yes"),"",IFERROR(INDEX(Clients!$F$6:$F$25,MATCH(B659,Clients!$B$6:$B$25,0)),""))</f>
        <v/>
      </c>
      <c r="G659" s="73" t="str">
        <f aca="false">IF(AND(ISNUMBER(D659),ISNUMBER(F659)),D659*F659,"")</f>
        <v/>
      </c>
      <c r="H659" s="51"/>
      <c r="I659" s="51"/>
    </row>
    <row r="660" customFormat="false" ht="15" hidden="false" customHeight="false" outlineLevel="0" collapsed="false">
      <c r="A660" s="65"/>
      <c r="B660" s="51"/>
      <c r="C660" s="51"/>
      <c r="D660" s="72"/>
      <c r="E660" s="51"/>
      <c r="F660" s="35" t="str">
        <f aca="false">IF(OR(B660="",E660&lt;&gt;"Yes"),"",IFERROR(INDEX(Clients!$F$6:$F$25,MATCH(B660,Clients!$B$6:$B$25,0)),""))</f>
        <v/>
      </c>
      <c r="G660" s="73" t="str">
        <f aca="false">IF(AND(ISNUMBER(D660),ISNUMBER(F660)),D660*F660,"")</f>
        <v/>
      </c>
      <c r="H660" s="51"/>
      <c r="I660" s="51"/>
    </row>
    <row r="661" customFormat="false" ht="15" hidden="false" customHeight="false" outlineLevel="0" collapsed="false">
      <c r="A661" s="65"/>
      <c r="B661" s="51"/>
      <c r="C661" s="51"/>
      <c r="D661" s="72"/>
      <c r="E661" s="51"/>
      <c r="F661" s="35" t="str">
        <f aca="false">IF(OR(B661="",E661&lt;&gt;"Yes"),"",IFERROR(INDEX(Clients!$F$6:$F$25,MATCH(B661,Clients!$B$6:$B$25,0)),""))</f>
        <v/>
      </c>
      <c r="G661" s="73" t="str">
        <f aca="false">IF(AND(ISNUMBER(D661),ISNUMBER(F661)),D661*F661,"")</f>
        <v/>
      </c>
      <c r="H661" s="51"/>
      <c r="I661" s="51"/>
    </row>
    <row r="662" customFormat="false" ht="15" hidden="false" customHeight="false" outlineLevel="0" collapsed="false">
      <c r="A662" s="65"/>
      <c r="B662" s="51"/>
      <c r="C662" s="51"/>
      <c r="D662" s="72"/>
      <c r="E662" s="51"/>
      <c r="F662" s="35" t="str">
        <f aca="false">IF(OR(B662="",E662&lt;&gt;"Yes"),"",IFERROR(INDEX(Clients!$F$6:$F$25,MATCH(B662,Clients!$B$6:$B$25,0)),""))</f>
        <v/>
      </c>
      <c r="G662" s="73" t="str">
        <f aca="false">IF(AND(ISNUMBER(D662),ISNUMBER(F662)),D662*F662,"")</f>
        <v/>
      </c>
      <c r="H662" s="51"/>
      <c r="I662" s="51"/>
    </row>
    <row r="663" customFormat="false" ht="15" hidden="false" customHeight="false" outlineLevel="0" collapsed="false">
      <c r="A663" s="65"/>
      <c r="B663" s="51"/>
      <c r="C663" s="51"/>
      <c r="D663" s="72"/>
      <c r="E663" s="51"/>
      <c r="F663" s="35" t="str">
        <f aca="false">IF(OR(B663="",E663&lt;&gt;"Yes"),"",IFERROR(INDEX(Clients!$F$6:$F$25,MATCH(B663,Clients!$B$6:$B$25,0)),""))</f>
        <v/>
      </c>
      <c r="G663" s="73" t="str">
        <f aca="false">IF(AND(ISNUMBER(D663),ISNUMBER(F663)),D663*F663,"")</f>
        <v/>
      </c>
      <c r="H663" s="51"/>
      <c r="I663" s="51"/>
    </row>
    <row r="664" customFormat="false" ht="15" hidden="false" customHeight="false" outlineLevel="0" collapsed="false">
      <c r="A664" s="65"/>
      <c r="B664" s="51"/>
      <c r="C664" s="51"/>
      <c r="D664" s="72"/>
      <c r="E664" s="51"/>
      <c r="F664" s="35" t="str">
        <f aca="false">IF(OR(B664="",E664&lt;&gt;"Yes"),"",IFERROR(INDEX(Clients!$F$6:$F$25,MATCH(B664,Clients!$B$6:$B$25,0)),""))</f>
        <v/>
      </c>
      <c r="G664" s="73" t="str">
        <f aca="false">IF(AND(ISNUMBER(D664),ISNUMBER(F664)),D664*F664,"")</f>
        <v/>
      </c>
      <c r="H664" s="51"/>
      <c r="I664" s="51"/>
    </row>
    <row r="665" customFormat="false" ht="15" hidden="false" customHeight="false" outlineLevel="0" collapsed="false">
      <c r="A665" s="65"/>
      <c r="B665" s="51"/>
      <c r="C665" s="51"/>
      <c r="D665" s="72"/>
      <c r="E665" s="51"/>
      <c r="F665" s="35" t="str">
        <f aca="false">IF(OR(B665="",E665&lt;&gt;"Yes"),"",IFERROR(INDEX(Clients!$F$6:$F$25,MATCH(B665,Clients!$B$6:$B$25,0)),""))</f>
        <v/>
      </c>
      <c r="G665" s="73" t="str">
        <f aca="false">IF(AND(ISNUMBER(D665),ISNUMBER(F665)),D665*F665,"")</f>
        <v/>
      </c>
      <c r="H665" s="51"/>
      <c r="I665" s="51"/>
    </row>
    <row r="666" customFormat="false" ht="15" hidden="false" customHeight="false" outlineLevel="0" collapsed="false">
      <c r="A666" s="65"/>
      <c r="B666" s="51"/>
      <c r="C666" s="51"/>
      <c r="D666" s="72"/>
      <c r="E666" s="51"/>
      <c r="F666" s="35" t="str">
        <f aca="false">IF(OR(B666="",E666&lt;&gt;"Yes"),"",IFERROR(INDEX(Clients!$F$6:$F$25,MATCH(B666,Clients!$B$6:$B$25,0)),""))</f>
        <v/>
      </c>
      <c r="G666" s="73" t="str">
        <f aca="false">IF(AND(ISNUMBER(D666),ISNUMBER(F666)),D666*F666,"")</f>
        <v/>
      </c>
      <c r="H666" s="51"/>
      <c r="I666" s="51"/>
    </row>
    <row r="667" customFormat="false" ht="15" hidden="false" customHeight="false" outlineLevel="0" collapsed="false">
      <c r="A667" s="65"/>
      <c r="B667" s="51"/>
      <c r="C667" s="51"/>
      <c r="D667" s="72"/>
      <c r="E667" s="51"/>
      <c r="F667" s="35" t="str">
        <f aca="false">IF(OR(B667="",E667&lt;&gt;"Yes"),"",IFERROR(INDEX(Clients!$F$6:$F$25,MATCH(B667,Clients!$B$6:$B$25,0)),""))</f>
        <v/>
      </c>
      <c r="G667" s="73" t="str">
        <f aca="false">IF(AND(ISNUMBER(D667),ISNUMBER(F667)),D667*F667,"")</f>
        <v/>
      </c>
      <c r="H667" s="51"/>
      <c r="I667" s="51"/>
    </row>
    <row r="668" customFormat="false" ht="15" hidden="false" customHeight="false" outlineLevel="0" collapsed="false">
      <c r="A668" s="65"/>
      <c r="B668" s="51"/>
      <c r="C668" s="51"/>
      <c r="D668" s="72"/>
      <c r="E668" s="51"/>
      <c r="F668" s="35" t="str">
        <f aca="false">IF(OR(B668="",E668&lt;&gt;"Yes"),"",IFERROR(INDEX(Clients!$F$6:$F$25,MATCH(B668,Clients!$B$6:$B$25,0)),""))</f>
        <v/>
      </c>
      <c r="G668" s="73" t="str">
        <f aca="false">IF(AND(ISNUMBER(D668),ISNUMBER(F668)),D668*F668,"")</f>
        <v/>
      </c>
      <c r="H668" s="51"/>
      <c r="I668" s="51"/>
    </row>
    <row r="669" customFormat="false" ht="15" hidden="false" customHeight="false" outlineLevel="0" collapsed="false">
      <c r="A669" s="65"/>
      <c r="B669" s="51"/>
      <c r="C669" s="51"/>
      <c r="D669" s="72"/>
      <c r="E669" s="51"/>
      <c r="F669" s="35" t="str">
        <f aca="false">IF(OR(B669="",E669&lt;&gt;"Yes"),"",IFERROR(INDEX(Clients!$F$6:$F$25,MATCH(B669,Clients!$B$6:$B$25,0)),""))</f>
        <v/>
      </c>
      <c r="G669" s="73" t="str">
        <f aca="false">IF(AND(ISNUMBER(D669),ISNUMBER(F669)),D669*F669,"")</f>
        <v/>
      </c>
      <c r="H669" s="51"/>
      <c r="I669" s="51"/>
    </row>
    <row r="670" customFormat="false" ht="15" hidden="false" customHeight="false" outlineLevel="0" collapsed="false">
      <c r="A670" s="65"/>
      <c r="B670" s="51"/>
      <c r="C670" s="51"/>
      <c r="D670" s="72"/>
      <c r="E670" s="51"/>
      <c r="F670" s="35" t="str">
        <f aca="false">IF(OR(B670="",E670&lt;&gt;"Yes"),"",IFERROR(INDEX(Clients!$F$6:$F$25,MATCH(B670,Clients!$B$6:$B$25,0)),""))</f>
        <v/>
      </c>
      <c r="G670" s="73" t="str">
        <f aca="false">IF(AND(ISNUMBER(D670),ISNUMBER(F670)),D670*F670,"")</f>
        <v/>
      </c>
      <c r="H670" s="51"/>
      <c r="I670" s="51"/>
    </row>
    <row r="671" customFormat="false" ht="15" hidden="false" customHeight="false" outlineLevel="0" collapsed="false">
      <c r="A671" s="65"/>
      <c r="B671" s="51"/>
      <c r="C671" s="51"/>
      <c r="D671" s="72"/>
      <c r="E671" s="51"/>
      <c r="F671" s="35" t="str">
        <f aca="false">IF(OR(B671="",E671&lt;&gt;"Yes"),"",IFERROR(INDEX(Clients!$F$6:$F$25,MATCH(B671,Clients!$B$6:$B$25,0)),""))</f>
        <v/>
      </c>
      <c r="G671" s="73" t="str">
        <f aca="false">IF(AND(ISNUMBER(D671),ISNUMBER(F671)),D671*F671,"")</f>
        <v/>
      </c>
      <c r="H671" s="51"/>
      <c r="I671" s="51"/>
    </row>
    <row r="672" customFormat="false" ht="15" hidden="false" customHeight="false" outlineLevel="0" collapsed="false">
      <c r="A672" s="65"/>
      <c r="B672" s="51"/>
      <c r="C672" s="51"/>
      <c r="D672" s="72"/>
      <c r="E672" s="51"/>
      <c r="F672" s="35" t="str">
        <f aca="false">IF(OR(B672="",E672&lt;&gt;"Yes"),"",IFERROR(INDEX(Clients!$F$6:$F$25,MATCH(B672,Clients!$B$6:$B$25,0)),""))</f>
        <v/>
      </c>
      <c r="G672" s="73" t="str">
        <f aca="false">IF(AND(ISNUMBER(D672),ISNUMBER(F672)),D672*F672,"")</f>
        <v/>
      </c>
      <c r="H672" s="51"/>
      <c r="I672" s="51"/>
    </row>
    <row r="673" customFormat="false" ht="15" hidden="false" customHeight="false" outlineLevel="0" collapsed="false">
      <c r="A673" s="65"/>
      <c r="B673" s="51"/>
      <c r="C673" s="51"/>
      <c r="D673" s="72"/>
      <c r="E673" s="51"/>
      <c r="F673" s="35" t="str">
        <f aca="false">IF(OR(B673="",E673&lt;&gt;"Yes"),"",IFERROR(INDEX(Clients!$F$6:$F$25,MATCH(B673,Clients!$B$6:$B$25,0)),""))</f>
        <v/>
      </c>
      <c r="G673" s="73" t="str">
        <f aca="false">IF(AND(ISNUMBER(D673),ISNUMBER(F673)),D673*F673,"")</f>
        <v/>
      </c>
      <c r="H673" s="51"/>
      <c r="I673" s="51"/>
    </row>
    <row r="674" customFormat="false" ht="15" hidden="false" customHeight="false" outlineLevel="0" collapsed="false">
      <c r="A674" s="65"/>
      <c r="B674" s="51"/>
      <c r="C674" s="51"/>
      <c r="D674" s="72"/>
      <c r="E674" s="51"/>
      <c r="F674" s="35" t="str">
        <f aca="false">IF(OR(B674="",E674&lt;&gt;"Yes"),"",IFERROR(INDEX(Clients!$F$6:$F$25,MATCH(B674,Clients!$B$6:$B$25,0)),""))</f>
        <v/>
      </c>
      <c r="G674" s="73" t="str">
        <f aca="false">IF(AND(ISNUMBER(D674),ISNUMBER(F674)),D674*F674,"")</f>
        <v/>
      </c>
      <c r="H674" s="51"/>
      <c r="I674" s="51"/>
    </row>
    <row r="675" customFormat="false" ht="15" hidden="false" customHeight="false" outlineLevel="0" collapsed="false">
      <c r="A675" s="65"/>
      <c r="B675" s="51"/>
      <c r="C675" s="51"/>
      <c r="D675" s="72"/>
      <c r="E675" s="51"/>
      <c r="F675" s="35" t="str">
        <f aca="false">IF(OR(B675="",E675&lt;&gt;"Yes"),"",IFERROR(INDEX(Clients!$F$6:$F$25,MATCH(B675,Clients!$B$6:$B$25,0)),""))</f>
        <v/>
      </c>
      <c r="G675" s="73" t="str">
        <f aca="false">IF(AND(ISNUMBER(D675),ISNUMBER(F675)),D675*F675,"")</f>
        <v/>
      </c>
      <c r="H675" s="51"/>
      <c r="I675" s="51"/>
    </row>
    <row r="676" customFormat="false" ht="15" hidden="false" customHeight="false" outlineLevel="0" collapsed="false">
      <c r="A676" s="65"/>
      <c r="B676" s="51"/>
      <c r="C676" s="51"/>
      <c r="D676" s="72"/>
      <c r="E676" s="51"/>
      <c r="F676" s="35" t="str">
        <f aca="false">IF(OR(B676="",E676&lt;&gt;"Yes"),"",IFERROR(INDEX(Clients!$F$6:$F$25,MATCH(B676,Clients!$B$6:$B$25,0)),""))</f>
        <v/>
      </c>
      <c r="G676" s="73" t="str">
        <f aca="false">IF(AND(ISNUMBER(D676),ISNUMBER(F676)),D676*F676,"")</f>
        <v/>
      </c>
      <c r="H676" s="51"/>
      <c r="I676" s="51"/>
    </row>
    <row r="677" customFormat="false" ht="15" hidden="false" customHeight="false" outlineLevel="0" collapsed="false">
      <c r="A677" s="65"/>
      <c r="B677" s="51"/>
      <c r="C677" s="51"/>
      <c r="D677" s="72"/>
      <c r="E677" s="51"/>
      <c r="F677" s="35" t="str">
        <f aca="false">IF(OR(B677="",E677&lt;&gt;"Yes"),"",IFERROR(INDEX(Clients!$F$6:$F$25,MATCH(B677,Clients!$B$6:$B$25,0)),""))</f>
        <v/>
      </c>
      <c r="G677" s="73" t="str">
        <f aca="false">IF(AND(ISNUMBER(D677),ISNUMBER(F677)),D677*F677,"")</f>
        <v/>
      </c>
      <c r="H677" s="51"/>
      <c r="I677" s="51"/>
    </row>
    <row r="678" customFormat="false" ht="15" hidden="false" customHeight="false" outlineLevel="0" collapsed="false">
      <c r="A678" s="65"/>
      <c r="B678" s="51"/>
      <c r="C678" s="51"/>
      <c r="D678" s="72"/>
      <c r="E678" s="51"/>
      <c r="F678" s="35" t="str">
        <f aca="false">IF(OR(B678="",E678&lt;&gt;"Yes"),"",IFERROR(INDEX(Clients!$F$6:$F$25,MATCH(B678,Clients!$B$6:$B$25,0)),""))</f>
        <v/>
      </c>
      <c r="G678" s="73" t="str">
        <f aca="false">IF(AND(ISNUMBER(D678),ISNUMBER(F678)),D678*F678,"")</f>
        <v/>
      </c>
      <c r="H678" s="51"/>
      <c r="I678" s="51"/>
    </row>
    <row r="679" customFormat="false" ht="15" hidden="false" customHeight="false" outlineLevel="0" collapsed="false">
      <c r="A679" s="65"/>
      <c r="B679" s="51"/>
      <c r="C679" s="51"/>
      <c r="D679" s="72"/>
      <c r="E679" s="51"/>
      <c r="F679" s="35" t="str">
        <f aca="false">IF(OR(B679="",E679&lt;&gt;"Yes"),"",IFERROR(INDEX(Clients!$F$6:$F$25,MATCH(B679,Clients!$B$6:$B$25,0)),""))</f>
        <v/>
      </c>
      <c r="G679" s="73" t="str">
        <f aca="false">IF(AND(ISNUMBER(D679),ISNUMBER(F679)),D679*F679,"")</f>
        <v/>
      </c>
      <c r="H679" s="51"/>
      <c r="I679" s="51"/>
    </row>
    <row r="680" customFormat="false" ht="15" hidden="false" customHeight="false" outlineLevel="0" collapsed="false">
      <c r="A680" s="65"/>
      <c r="B680" s="51"/>
      <c r="C680" s="51"/>
      <c r="D680" s="72"/>
      <c r="E680" s="51"/>
      <c r="F680" s="35" t="str">
        <f aca="false">IF(OR(B680="",E680&lt;&gt;"Yes"),"",IFERROR(INDEX(Clients!$F$6:$F$25,MATCH(B680,Clients!$B$6:$B$25,0)),""))</f>
        <v/>
      </c>
      <c r="G680" s="73" t="str">
        <f aca="false">IF(AND(ISNUMBER(D680),ISNUMBER(F680)),D680*F680,"")</f>
        <v/>
      </c>
      <c r="H680" s="51"/>
      <c r="I680" s="51"/>
    </row>
    <row r="681" customFormat="false" ht="15" hidden="false" customHeight="false" outlineLevel="0" collapsed="false">
      <c r="A681" s="65"/>
      <c r="B681" s="51"/>
      <c r="C681" s="51"/>
      <c r="D681" s="72"/>
      <c r="E681" s="51"/>
      <c r="F681" s="35" t="str">
        <f aca="false">IF(OR(B681="",E681&lt;&gt;"Yes"),"",IFERROR(INDEX(Clients!$F$6:$F$25,MATCH(B681,Clients!$B$6:$B$25,0)),""))</f>
        <v/>
      </c>
      <c r="G681" s="73" t="str">
        <f aca="false">IF(AND(ISNUMBER(D681),ISNUMBER(F681)),D681*F681,"")</f>
        <v/>
      </c>
      <c r="H681" s="51"/>
      <c r="I681" s="51"/>
    </row>
    <row r="682" customFormat="false" ht="15" hidden="false" customHeight="false" outlineLevel="0" collapsed="false">
      <c r="A682" s="65"/>
      <c r="B682" s="51"/>
      <c r="C682" s="51"/>
      <c r="D682" s="72"/>
      <c r="E682" s="51"/>
      <c r="F682" s="35" t="str">
        <f aca="false">IF(OR(B682="",E682&lt;&gt;"Yes"),"",IFERROR(INDEX(Clients!$F$6:$F$25,MATCH(B682,Clients!$B$6:$B$25,0)),""))</f>
        <v/>
      </c>
      <c r="G682" s="73" t="str">
        <f aca="false">IF(AND(ISNUMBER(D682),ISNUMBER(F682)),D682*F682,"")</f>
        <v/>
      </c>
      <c r="H682" s="51"/>
      <c r="I682" s="51"/>
    </row>
    <row r="683" customFormat="false" ht="15" hidden="false" customHeight="false" outlineLevel="0" collapsed="false">
      <c r="A683" s="65"/>
      <c r="B683" s="51"/>
      <c r="C683" s="51"/>
      <c r="D683" s="72"/>
      <c r="E683" s="51"/>
      <c r="F683" s="35" t="str">
        <f aca="false">IF(OR(B683="",E683&lt;&gt;"Yes"),"",IFERROR(INDEX(Clients!$F$6:$F$25,MATCH(B683,Clients!$B$6:$B$25,0)),""))</f>
        <v/>
      </c>
      <c r="G683" s="73" t="str">
        <f aca="false">IF(AND(ISNUMBER(D683),ISNUMBER(F683)),D683*F683,"")</f>
        <v/>
      </c>
      <c r="H683" s="51"/>
      <c r="I683" s="51"/>
    </row>
    <row r="684" customFormat="false" ht="15" hidden="false" customHeight="false" outlineLevel="0" collapsed="false">
      <c r="A684" s="65"/>
      <c r="B684" s="51"/>
      <c r="C684" s="51"/>
      <c r="D684" s="72"/>
      <c r="E684" s="51"/>
      <c r="F684" s="35" t="str">
        <f aca="false">IF(OR(B684="",E684&lt;&gt;"Yes"),"",IFERROR(INDEX(Clients!$F$6:$F$25,MATCH(B684,Clients!$B$6:$B$25,0)),""))</f>
        <v/>
      </c>
      <c r="G684" s="73" t="str">
        <f aca="false">IF(AND(ISNUMBER(D684),ISNUMBER(F684)),D684*F684,"")</f>
        <v/>
      </c>
      <c r="H684" s="51"/>
      <c r="I684" s="51"/>
    </row>
    <row r="685" customFormat="false" ht="15" hidden="false" customHeight="false" outlineLevel="0" collapsed="false">
      <c r="A685" s="65"/>
      <c r="B685" s="51"/>
      <c r="C685" s="51"/>
      <c r="D685" s="72"/>
      <c r="E685" s="51"/>
      <c r="F685" s="35" t="str">
        <f aca="false">IF(OR(B685="",E685&lt;&gt;"Yes"),"",IFERROR(INDEX(Clients!$F$6:$F$25,MATCH(B685,Clients!$B$6:$B$25,0)),""))</f>
        <v/>
      </c>
      <c r="G685" s="73" t="str">
        <f aca="false">IF(AND(ISNUMBER(D685),ISNUMBER(F685)),D685*F685,"")</f>
        <v/>
      </c>
      <c r="H685" s="51"/>
      <c r="I685" s="51"/>
    </row>
    <row r="686" customFormat="false" ht="15" hidden="false" customHeight="false" outlineLevel="0" collapsed="false">
      <c r="A686" s="65"/>
      <c r="B686" s="51"/>
      <c r="C686" s="51"/>
      <c r="D686" s="72"/>
      <c r="E686" s="51"/>
      <c r="F686" s="35" t="str">
        <f aca="false">IF(OR(B686="",E686&lt;&gt;"Yes"),"",IFERROR(INDEX(Clients!$F$6:$F$25,MATCH(B686,Clients!$B$6:$B$25,0)),""))</f>
        <v/>
      </c>
      <c r="G686" s="73" t="str">
        <f aca="false">IF(AND(ISNUMBER(D686),ISNUMBER(F686)),D686*F686,"")</f>
        <v/>
      </c>
      <c r="H686" s="51"/>
      <c r="I686" s="51"/>
    </row>
    <row r="687" customFormat="false" ht="15" hidden="false" customHeight="false" outlineLevel="0" collapsed="false">
      <c r="A687" s="65"/>
      <c r="B687" s="51"/>
      <c r="C687" s="51"/>
      <c r="D687" s="72"/>
      <c r="E687" s="51"/>
      <c r="F687" s="35" t="str">
        <f aca="false">IF(OR(B687="",E687&lt;&gt;"Yes"),"",IFERROR(INDEX(Clients!$F$6:$F$25,MATCH(B687,Clients!$B$6:$B$25,0)),""))</f>
        <v/>
      </c>
      <c r="G687" s="73" t="str">
        <f aca="false">IF(AND(ISNUMBER(D687),ISNUMBER(F687)),D687*F687,"")</f>
        <v/>
      </c>
      <c r="H687" s="51"/>
      <c r="I687" s="51"/>
    </row>
    <row r="688" customFormat="false" ht="15" hidden="false" customHeight="false" outlineLevel="0" collapsed="false">
      <c r="A688" s="65"/>
      <c r="B688" s="51"/>
      <c r="C688" s="51"/>
      <c r="D688" s="72"/>
      <c r="E688" s="51"/>
      <c r="F688" s="35" t="str">
        <f aca="false">IF(OR(B688="",E688&lt;&gt;"Yes"),"",IFERROR(INDEX(Clients!$F$6:$F$25,MATCH(B688,Clients!$B$6:$B$25,0)),""))</f>
        <v/>
      </c>
      <c r="G688" s="73" t="str">
        <f aca="false">IF(AND(ISNUMBER(D688),ISNUMBER(F688)),D688*F688,"")</f>
        <v/>
      </c>
      <c r="H688" s="51"/>
      <c r="I688" s="51"/>
    </row>
    <row r="689" customFormat="false" ht="15" hidden="false" customHeight="false" outlineLevel="0" collapsed="false">
      <c r="A689" s="65"/>
      <c r="B689" s="51"/>
      <c r="C689" s="51"/>
      <c r="D689" s="72"/>
      <c r="E689" s="51"/>
      <c r="F689" s="35" t="str">
        <f aca="false">IF(OR(B689="",E689&lt;&gt;"Yes"),"",IFERROR(INDEX(Clients!$F$6:$F$25,MATCH(B689,Clients!$B$6:$B$25,0)),""))</f>
        <v/>
      </c>
      <c r="G689" s="73" t="str">
        <f aca="false">IF(AND(ISNUMBER(D689),ISNUMBER(F689)),D689*F689,"")</f>
        <v/>
      </c>
      <c r="H689" s="51"/>
      <c r="I689" s="51"/>
    </row>
    <row r="690" customFormat="false" ht="15" hidden="false" customHeight="false" outlineLevel="0" collapsed="false">
      <c r="A690" s="65"/>
      <c r="B690" s="51"/>
      <c r="C690" s="51"/>
      <c r="D690" s="72"/>
      <c r="E690" s="51"/>
      <c r="F690" s="35" t="str">
        <f aca="false">IF(OR(B690="",E690&lt;&gt;"Yes"),"",IFERROR(INDEX(Clients!$F$6:$F$25,MATCH(B690,Clients!$B$6:$B$25,0)),""))</f>
        <v/>
      </c>
      <c r="G690" s="73" t="str">
        <f aca="false">IF(AND(ISNUMBER(D690),ISNUMBER(F690)),D690*F690,"")</f>
        <v/>
      </c>
      <c r="H690" s="51"/>
      <c r="I690" s="51"/>
    </row>
    <row r="691" customFormat="false" ht="15" hidden="false" customHeight="false" outlineLevel="0" collapsed="false">
      <c r="A691" s="65"/>
      <c r="B691" s="51"/>
      <c r="C691" s="51"/>
      <c r="D691" s="72"/>
      <c r="E691" s="51"/>
      <c r="F691" s="35" t="str">
        <f aca="false">IF(OR(B691="",E691&lt;&gt;"Yes"),"",IFERROR(INDEX(Clients!$F$6:$F$25,MATCH(B691,Clients!$B$6:$B$25,0)),""))</f>
        <v/>
      </c>
      <c r="G691" s="73" t="str">
        <f aca="false">IF(AND(ISNUMBER(D691),ISNUMBER(F691)),D691*F691,"")</f>
        <v/>
      </c>
      <c r="H691" s="51"/>
      <c r="I691" s="51"/>
    </row>
    <row r="692" customFormat="false" ht="15" hidden="false" customHeight="false" outlineLevel="0" collapsed="false">
      <c r="A692" s="65"/>
      <c r="B692" s="51"/>
      <c r="C692" s="51"/>
      <c r="D692" s="72"/>
      <c r="E692" s="51"/>
      <c r="F692" s="35" t="str">
        <f aca="false">IF(OR(B692="",E692&lt;&gt;"Yes"),"",IFERROR(INDEX(Clients!$F$6:$F$25,MATCH(B692,Clients!$B$6:$B$25,0)),""))</f>
        <v/>
      </c>
      <c r="G692" s="73" t="str">
        <f aca="false">IF(AND(ISNUMBER(D692),ISNUMBER(F692)),D692*F692,"")</f>
        <v/>
      </c>
      <c r="H692" s="51"/>
      <c r="I692" s="51"/>
    </row>
    <row r="693" customFormat="false" ht="15" hidden="false" customHeight="false" outlineLevel="0" collapsed="false">
      <c r="A693" s="65"/>
      <c r="B693" s="51"/>
      <c r="C693" s="51"/>
      <c r="D693" s="72"/>
      <c r="E693" s="51"/>
      <c r="F693" s="35" t="str">
        <f aca="false">IF(OR(B693="",E693&lt;&gt;"Yes"),"",IFERROR(INDEX(Clients!$F$6:$F$25,MATCH(B693,Clients!$B$6:$B$25,0)),""))</f>
        <v/>
      </c>
      <c r="G693" s="73" t="str">
        <f aca="false">IF(AND(ISNUMBER(D693),ISNUMBER(F693)),D693*F693,"")</f>
        <v/>
      </c>
      <c r="H693" s="51"/>
      <c r="I693" s="51"/>
    </row>
    <row r="694" customFormat="false" ht="15" hidden="false" customHeight="false" outlineLevel="0" collapsed="false">
      <c r="A694" s="65"/>
      <c r="B694" s="51"/>
      <c r="C694" s="51"/>
      <c r="D694" s="72"/>
      <c r="E694" s="51"/>
      <c r="F694" s="35" t="str">
        <f aca="false">IF(OR(B694="",E694&lt;&gt;"Yes"),"",IFERROR(INDEX(Clients!$F$6:$F$25,MATCH(B694,Clients!$B$6:$B$25,0)),""))</f>
        <v/>
      </c>
      <c r="G694" s="73" t="str">
        <f aca="false">IF(AND(ISNUMBER(D694),ISNUMBER(F694)),D694*F694,"")</f>
        <v/>
      </c>
      <c r="H694" s="51"/>
      <c r="I694" s="51"/>
    </row>
    <row r="695" customFormat="false" ht="15" hidden="false" customHeight="false" outlineLevel="0" collapsed="false">
      <c r="A695" s="65"/>
      <c r="B695" s="51"/>
      <c r="C695" s="51"/>
      <c r="D695" s="72"/>
      <c r="E695" s="51"/>
      <c r="F695" s="35" t="str">
        <f aca="false">IF(OR(B695="",E695&lt;&gt;"Yes"),"",IFERROR(INDEX(Clients!$F$6:$F$25,MATCH(B695,Clients!$B$6:$B$25,0)),""))</f>
        <v/>
      </c>
      <c r="G695" s="73" t="str">
        <f aca="false">IF(AND(ISNUMBER(D695),ISNUMBER(F695)),D695*F695,"")</f>
        <v/>
      </c>
      <c r="H695" s="51"/>
      <c r="I695" s="51"/>
    </row>
    <row r="696" customFormat="false" ht="15" hidden="false" customHeight="false" outlineLevel="0" collapsed="false">
      <c r="A696" s="65"/>
      <c r="B696" s="51"/>
      <c r="C696" s="51"/>
      <c r="D696" s="72"/>
      <c r="E696" s="51"/>
      <c r="F696" s="35" t="str">
        <f aca="false">IF(OR(B696="",E696&lt;&gt;"Yes"),"",IFERROR(INDEX(Clients!$F$6:$F$25,MATCH(B696,Clients!$B$6:$B$25,0)),""))</f>
        <v/>
      </c>
      <c r="G696" s="73" t="str">
        <f aca="false">IF(AND(ISNUMBER(D696),ISNUMBER(F696)),D696*F696,"")</f>
        <v/>
      </c>
      <c r="H696" s="51"/>
      <c r="I696" s="51"/>
    </row>
    <row r="697" customFormat="false" ht="15" hidden="false" customHeight="false" outlineLevel="0" collapsed="false">
      <c r="A697" s="65"/>
      <c r="B697" s="51"/>
      <c r="C697" s="51"/>
      <c r="D697" s="72"/>
      <c r="E697" s="51"/>
      <c r="F697" s="35" t="str">
        <f aca="false">IF(OR(B697="",E697&lt;&gt;"Yes"),"",IFERROR(INDEX(Clients!$F$6:$F$25,MATCH(B697,Clients!$B$6:$B$25,0)),""))</f>
        <v/>
      </c>
      <c r="G697" s="73" t="str">
        <f aca="false">IF(AND(ISNUMBER(D697),ISNUMBER(F697)),D697*F697,"")</f>
        <v/>
      </c>
      <c r="H697" s="51"/>
      <c r="I697" s="51"/>
    </row>
    <row r="698" customFormat="false" ht="15" hidden="false" customHeight="false" outlineLevel="0" collapsed="false">
      <c r="A698" s="65"/>
      <c r="B698" s="51"/>
      <c r="C698" s="51"/>
      <c r="D698" s="72"/>
      <c r="E698" s="51"/>
      <c r="F698" s="35" t="str">
        <f aca="false">IF(OR(B698="",E698&lt;&gt;"Yes"),"",IFERROR(INDEX(Clients!$F$6:$F$25,MATCH(B698,Clients!$B$6:$B$25,0)),""))</f>
        <v/>
      </c>
      <c r="G698" s="73" t="str">
        <f aca="false">IF(AND(ISNUMBER(D698),ISNUMBER(F698)),D698*F698,"")</f>
        <v/>
      </c>
      <c r="H698" s="51"/>
      <c r="I698" s="51"/>
    </row>
    <row r="699" customFormat="false" ht="15" hidden="false" customHeight="false" outlineLevel="0" collapsed="false">
      <c r="A699" s="65"/>
      <c r="B699" s="51"/>
      <c r="C699" s="51"/>
      <c r="D699" s="72"/>
      <c r="E699" s="51"/>
      <c r="F699" s="35" t="str">
        <f aca="false">IF(OR(B699="",E699&lt;&gt;"Yes"),"",IFERROR(INDEX(Clients!$F$6:$F$25,MATCH(B699,Clients!$B$6:$B$25,0)),""))</f>
        <v/>
      </c>
      <c r="G699" s="73" t="str">
        <f aca="false">IF(AND(ISNUMBER(D699),ISNUMBER(F699)),D699*F699,"")</f>
        <v/>
      </c>
      <c r="H699" s="51"/>
      <c r="I699" s="51"/>
    </row>
    <row r="700" customFormat="false" ht="15" hidden="false" customHeight="false" outlineLevel="0" collapsed="false">
      <c r="A700" s="65"/>
      <c r="B700" s="51"/>
      <c r="C700" s="51"/>
      <c r="D700" s="72"/>
      <c r="E700" s="51"/>
      <c r="F700" s="35" t="str">
        <f aca="false">IF(OR(B700="",E700&lt;&gt;"Yes"),"",IFERROR(INDEX(Clients!$F$6:$F$25,MATCH(B700,Clients!$B$6:$B$25,0)),""))</f>
        <v/>
      </c>
      <c r="G700" s="73" t="str">
        <f aca="false">IF(AND(ISNUMBER(D700),ISNUMBER(F700)),D700*F700,"")</f>
        <v/>
      </c>
      <c r="H700" s="51"/>
      <c r="I700" s="51"/>
    </row>
    <row r="701" customFormat="false" ht="15" hidden="false" customHeight="false" outlineLevel="0" collapsed="false">
      <c r="A701" s="65"/>
      <c r="B701" s="51"/>
      <c r="C701" s="51"/>
      <c r="D701" s="72"/>
      <c r="E701" s="51"/>
      <c r="F701" s="35" t="str">
        <f aca="false">IF(OR(B701="",E701&lt;&gt;"Yes"),"",IFERROR(INDEX(Clients!$F$6:$F$25,MATCH(B701,Clients!$B$6:$B$25,0)),""))</f>
        <v/>
      </c>
      <c r="G701" s="73" t="str">
        <f aca="false">IF(AND(ISNUMBER(D701),ISNUMBER(F701)),D701*F701,"")</f>
        <v/>
      </c>
      <c r="H701" s="51"/>
      <c r="I701" s="51"/>
    </row>
    <row r="702" customFormat="false" ht="15" hidden="false" customHeight="false" outlineLevel="0" collapsed="false">
      <c r="A702" s="65"/>
      <c r="B702" s="51"/>
      <c r="C702" s="51"/>
      <c r="D702" s="72"/>
      <c r="E702" s="51"/>
      <c r="F702" s="35" t="str">
        <f aca="false">IF(OR(B702="",E702&lt;&gt;"Yes"),"",IFERROR(INDEX(Clients!$F$6:$F$25,MATCH(B702,Clients!$B$6:$B$25,0)),""))</f>
        <v/>
      </c>
      <c r="G702" s="73" t="str">
        <f aca="false">IF(AND(ISNUMBER(D702),ISNUMBER(F702)),D702*F702,"")</f>
        <v/>
      </c>
      <c r="H702" s="51"/>
      <c r="I702" s="51"/>
    </row>
    <row r="703" customFormat="false" ht="15" hidden="false" customHeight="false" outlineLevel="0" collapsed="false">
      <c r="A703" s="65"/>
      <c r="B703" s="51"/>
      <c r="C703" s="51"/>
      <c r="D703" s="72"/>
      <c r="E703" s="51"/>
      <c r="F703" s="35" t="str">
        <f aca="false">IF(OR(B703="",E703&lt;&gt;"Yes"),"",IFERROR(INDEX(Clients!$F$6:$F$25,MATCH(B703,Clients!$B$6:$B$25,0)),""))</f>
        <v/>
      </c>
      <c r="G703" s="73" t="str">
        <f aca="false">IF(AND(ISNUMBER(D703),ISNUMBER(F703)),D703*F703,"")</f>
        <v/>
      </c>
      <c r="H703" s="51"/>
      <c r="I703" s="51"/>
    </row>
    <row r="704" customFormat="false" ht="15" hidden="false" customHeight="false" outlineLevel="0" collapsed="false">
      <c r="A704" s="65"/>
      <c r="B704" s="51"/>
      <c r="C704" s="51"/>
      <c r="D704" s="72"/>
      <c r="E704" s="51"/>
      <c r="F704" s="35" t="str">
        <f aca="false">IF(OR(B704="",E704&lt;&gt;"Yes"),"",IFERROR(INDEX(Clients!$F$6:$F$25,MATCH(B704,Clients!$B$6:$B$25,0)),""))</f>
        <v/>
      </c>
      <c r="G704" s="73" t="str">
        <f aca="false">IF(AND(ISNUMBER(D704),ISNUMBER(F704)),D704*F704,"")</f>
        <v/>
      </c>
      <c r="H704" s="51"/>
      <c r="I704" s="51"/>
    </row>
    <row r="705" customFormat="false" ht="15" hidden="false" customHeight="false" outlineLevel="0" collapsed="false">
      <c r="A705" s="65"/>
      <c r="B705" s="51"/>
      <c r="C705" s="51"/>
      <c r="D705" s="72"/>
      <c r="E705" s="51"/>
      <c r="F705" s="35" t="str">
        <f aca="false">IF(OR(B705="",E705&lt;&gt;"Yes"),"",IFERROR(INDEX(Clients!$F$6:$F$25,MATCH(B705,Clients!$B$6:$B$25,0)),""))</f>
        <v/>
      </c>
      <c r="G705" s="73" t="str">
        <f aca="false">IF(AND(ISNUMBER(D705),ISNUMBER(F705)),D705*F705,"")</f>
        <v/>
      </c>
      <c r="H705" s="51"/>
      <c r="I705" s="51"/>
    </row>
  </sheetData>
  <conditionalFormatting sqref="H6:H705">
    <cfRule type="expression" priority="2" aboveAverage="0" equalAverage="0" bottom="0" percent="0" rank="0" text="" dxfId="2">
      <formula>AND(H6="No",E6="Yes",B6&lt;&gt;"")</formula>
    </cfRule>
  </conditionalFormatting>
  <dataValidations count="3">
    <dataValidation allowBlank="true" errorStyle="stop" operator="between" showDropDown="false" showErrorMessage="false" showInputMessage="false" sqref="B6:B705" type="list">
      <formula1>Settings!$O$16:$O$36</formula1>
      <formula2>0</formula2>
    </dataValidation>
    <dataValidation allowBlank="true" errorStyle="stop" operator="between" showDropDown="false" showErrorMessage="false" showInputMessage="false" sqref="E6:E705" type="list">
      <formula1>"Yes,No"</formula1>
      <formula2>0</formula2>
    </dataValidation>
    <dataValidation allowBlank="true" errorStyle="stop" operator="between" showDropDown="false" showErrorMessage="false" showInputMessage="false" sqref="H6:H70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R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3"/>
    <col collapsed="false" customWidth="true" hidden="false" outlineLevel="0" max="3" min="3" style="0" width="24"/>
    <col collapsed="false" customWidth="true" hidden="false" outlineLevel="0" max="4" min="4" style="0" width="30"/>
    <col collapsed="false" customWidth="true" hidden="false" outlineLevel="0" max="5" min="5" style="0" width="12"/>
    <col collapsed="false" customWidth="true" hidden="false" outlineLevel="0" max="6" min="6" style="0" width="9"/>
    <col collapsed="false" customWidth="true" hidden="false" outlineLevel="0" max="8" min="7" style="0" width="13"/>
    <col collapsed="false" customWidth="true" hidden="false" outlineLevel="0" max="9" min="9" style="0" width="12"/>
    <col collapsed="false" customWidth="true" hidden="false" outlineLevel="0" max="10" min="10" style="0" width="18"/>
    <col collapsed="false" customWidth="true" hidden="false" outlineLevel="0" max="11" min="11" style="0" width="11"/>
    <col collapsed="false" customWidth="true" hidden="false" outlineLevel="0" max="12" min="12" style="0" width="10"/>
    <col collapsed="false" customWidth="true" hidden="false" outlineLevel="0" max="13" min="13" style="0" width="8"/>
    <col collapsed="false" customWidth="true" hidden="false" outlineLevel="0" max="14" min="14" style="0" width="15"/>
    <col collapsed="false" customWidth="true" hidden="false" outlineLevel="0" max="15" min="15" style="0" width="9"/>
    <col collapsed="false" customWidth="true" hidden="false" outlineLevel="0" max="16" min="16" style="0" width="3"/>
    <col collapsed="false" customWidth="true" hidden="false" outlineLevel="0" max="17" min="17" style="0" width="18"/>
    <col collapsed="false" customWidth="true" hidden="false" outlineLevel="0" max="18" min="18" style="0" width="12"/>
  </cols>
  <sheetData>
    <row r="1" customFormat="false" ht="22.05" hidden="false" customHeight="false" outlineLevel="0" collapsed="false">
      <c r="A1" s="48" t="s">
        <v>272</v>
      </c>
    </row>
    <row r="2" customFormat="false" ht="15" hidden="false" customHeight="false" outlineLevel="0" collapsed="false">
      <c r="A2" s="49" t="s">
        <v>273</v>
      </c>
    </row>
    <row r="3" customFormat="false" ht="15" hidden="false" customHeight="false" outlineLevel="0" collapsed="false">
      <c r="B3" s="68" t="s">
        <v>49</v>
      </c>
      <c r="E3" s="68" t="s">
        <v>50</v>
      </c>
      <c r="I3" s="68" t="s">
        <v>198</v>
      </c>
      <c r="K3" s="68" t="s">
        <v>274</v>
      </c>
      <c r="M3" s="68" t="s">
        <v>275</v>
      </c>
    </row>
    <row r="4" customFormat="false" ht="15" hidden="false" customHeight="false" outlineLevel="0" collapsed="false">
      <c r="B4" s="71" t="n">
        <f aca="false">SUM(E6:E505)</f>
        <v>125965</v>
      </c>
      <c r="E4" s="71" t="n">
        <f aca="false">SUM(I6:I505)</f>
        <v>114750</v>
      </c>
      <c r="I4" s="71" t="n">
        <f aca="false">SUM(K6:K505)</f>
        <v>11215</v>
      </c>
      <c r="K4" s="71" t="n">
        <f aca="false">SUMIFS(K6:K505,L6:L505,"Overdue")</f>
        <v>1300</v>
      </c>
      <c r="M4" s="74" t="n">
        <f aca="false">IFERROR(ROUND(AVERAGE(O6:O505),0),"")</f>
        <v>20</v>
      </c>
    </row>
    <row r="5" customFormat="false" ht="36" hidden="false" customHeight="true" outlineLevel="0" collapsed="false">
      <c r="A5" s="56" t="s">
        <v>276</v>
      </c>
      <c r="B5" s="57" t="s">
        <v>277</v>
      </c>
      <c r="C5" s="57" t="s">
        <v>48</v>
      </c>
      <c r="D5" s="57" t="s">
        <v>278</v>
      </c>
      <c r="E5" s="57" t="s">
        <v>279</v>
      </c>
      <c r="F5" s="57" t="s">
        <v>280</v>
      </c>
      <c r="G5" s="57" t="s">
        <v>281</v>
      </c>
      <c r="H5" s="57" t="s">
        <v>282</v>
      </c>
      <c r="I5" s="57" t="s">
        <v>283</v>
      </c>
      <c r="J5" s="57" t="s">
        <v>284</v>
      </c>
      <c r="K5" s="57" t="s">
        <v>285</v>
      </c>
      <c r="L5" s="57" t="s">
        <v>195</v>
      </c>
      <c r="M5" s="57" t="s">
        <v>286</v>
      </c>
      <c r="N5" s="57" t="s">
        <v>287</v>
      </c>
      <c r="O5" s="57" t="s">
        <v>288</v>
      </c>
      <c r="Q5" s="59" t="s">
        <v>289</v>
      </c>
      <c r="R5" s="75"/>
    </row>
    <row r="6" customFormat="false" ht="15" hidden="false" customHeight="false" outlineLevel="0" collapsed="false">
      <c r="A6" s="51" t="n">
        <v>1001</v>
      </c>
      <c r="B6" s="65" t="n">
        <v>46023</v>
      </c>
      <c r="C6" s="51" t="s">
        <v>213</v>
      </c>
      <c r="D6" s="51" t="s">
        <v>290</v>
      </c>
      <c r="E6" s="76" t="n">
        <v>2200</v>
      </c>
      <c r="F6" s="66" t="n">
        <f aca="false">IF(C6="","",IFERROR(1/(1/INDEX(Clients!$H$6:$H$25,MATCH(C6,Clients!$B$6:$B$25,0))),Settings!$C$10))</f>
        <v>15</v>
      </c>
      <c r="G6" s="77" t="n">
        <f aca="false">IF(OR(B6="",F6=""),"",B6+F6)</f>
        <v>46038</v>
      </c>
      <c r="H6" s="65" t="n">
        <v>46034</v>
      </c>
      <c r="I6" s="76" t="n">
        <v>2200</v>
      </c>
      <c r="J6" s="51" t="s">
        <v>113</v>
      </c>
      <c r="K6" s="73" t="n">
        <f aca="false">IF(E6="","",E6-N(I6))</f>
        <v>0</v>
      </c>
      <c r="L6" s="78" t="str">
        <f aca="true">IF(E6="","",IF(K6&lt;=0,"Paid",IF(AND(G6&lt;&gt;"",TODAY()&gt;G6),"Overdue",IF(N(I6)&gt;0,"Partial","Open"))))</f>
        <v>Paid</v>
      </c>
      <c r="M6" s="66" t="n">
        <f aca="true">IF(OR(E6="",G6=""),"",IF(K6&lt;=0,IF(H6="","",MAX(0,H6-G6)),MAX(0,TODAY()-G6)))</f>
        <v>0</v>
      </c>
      <c r="N6" s="78" t="str">
        <f aca="true">IF(OR(E6="",G6=""),"",IF(K6&lt;=0,"",IF(TODAY()&lt;=G6,"Not due yet",IF(TODAY()-G6&lt;=30,"1-30 days late",IF(TODAY()-G6&lt;=60,"31-60 days late",IF(TODAY()-G6&lt;=90,"61-90 days late","90+ days late"))))))</f>
        <v/>
      </c>
      <c r="O6" s="66" t="n">
        <f aca="false">IF(OR(H6="",B6="",K6&gt;0),"",H6-B6)</f>
        <v>11</v>
      </c>
      <c r="Q6" s="78" t="s">
        <v>291</v>
      </c>
      <c r="R6" s="35" t="n">
        <f aca="false">SUMIFS($K$6:$K$505,$N$6:$N$505,Q6)</f>
        <v>9915</v>
      </c>
    </row>
    <row r="7" customFormat="false" ht="15" hidden="false" customHeight="false" outlineLevel="0" collapsed="false">
      <c r="A7" s="51" t="n">
        <v>1002</v>
      </c>
      <c r="B7" s="65" t="n">
        <v>46023</v>
      </c>
      <c r="C7" s="51" t="s">
        <v>204</v>
      </c>
      <c r="D7" s="51" t="s">
        <v>290</v>
      </c>
      <c r="E7" s="76" t="n">
        <v>3500</v>
      </c>
      <c r="F7" s="66" t="n">
        <f aca="false">IF(C7="","",IFERROR(1/(1/INDEX(Clients!$H$6:$H$25,MATCH(C7,Clients!$B$6:$B$25,0))),Settings!$C$10))</f>
        <v>15</v>
      </c>
      <c r="G7" s="77" t="n">
        <f aca="false">IF(OR(B7="",F7=""),"",B7+F7)</f>
        <v>46038</v>
      </c>
      <c r="H7" s="65" t="n">
        <v>46032</v>
      </c>
      <c r="I7" s="76" t="n">
        <v>3500</v>
      </c>
      <c r="J7" s="51" t="s">
        <v>113</v>
      </c>
      <c r="K7" s="73" t="n">
        <f aca="false">IF(E7="","",E7-N(I7))</f>
        <v>0</v>
      </c>
      <c r="L7" s="78" t="str">
        <f aca="true">IF(E7="","",IF(K7&lt;=0,"Paid",IF(AND(G7&lt;&gt;"",TODAY()&gt;G7),"Overdue",IF(N(I7)&gt;0,"Partial","Open"))))</f>
        <v>Paid</v>
      </c>
      <c r="M7" s="66" t="n">
        <f aca="true">IF(OR(E7="",G7=""),"",IF(K7&lt;=0,IF(H7="","",MAX(0,H7-G7)),MAX(0,TODAY()-G7)))</f>
        <v>0</v>
      </c>
      <c r="N7" s="78" t="str">
        <f aca="true">IF(OR(E7="",G7=""),"",IF(K7&lt;=0,"",IF(TODAY()&lt;=G7,"Not due yet",IF(TODAY()-G7&lt;=30,"1-30 days late",IF(TODAY()-G7&lt;=60,"31-60 days late",IF(TODAY()-G7&lt;=90,"61-90 days late","90+ days late"))))))</f>
        <v/>
      </c>
      <c r="O7" s="66" t="n">
        <f aca="false">IF(OR(H7="",B7="",K7&gt;0),"",H7-B7)</f>
        <v>9</v>
      </c>
      <c r="Q7" s="78" t="s">
        <v>292</v>
      </c>
      <c r="R7" s="35" t="n">
        <f aca="false">SUMIFS($K$6:$K$505,$N$6:$N$505,Q7)</f>
        <v>800</v>
      </c>
    </row>
    <row r="8" customFormat="false" ht="15" hidden="false" customHeight="false" outlineLevel="0" collapsed="false">
      <c r="A8" s="51" t="n">
        <v>1003</v>
      </c>
      <c r="B8" s="65" t="n">
        <v>46053</v>
      </c>
      <c r="C8" s="51" t="s">
        <v>207</v>
      </c>
      <c r="D8" s="51" t="s">
        <v>293</v>
      </c>
      <c r="E8" s="76" t="n">
        <v>3375</v>
      </c>
      <c r="F8" s="66" t="n">
        <f aca="false">IF(C8="","",IFERROR(1/(1/INDEX(Clients!$H$6:$H$25,MATCH(C8,Clients!$B$6:$B$25,0))),Settings!$C$10))</f>
        <v>30</v>
      </c>
      <c r="G8" s="77" t="n">
        <f aca="false">IF(OR(B8="",F8=""),"",B8+F8)</f>
        <v>46083</v>
      </c>
      <c r="H8" s="65" t="n">
        <v>46077</v>
      </c>
      <c r="I8" s="76" t="n">
        <v>3375</v>
      </c>
      <c r="J8" s="51" t="s">
        <v>122</v>
      </c>
      <c r="K8" s="73" t="n">
        <f aca="false">IF(E8="","",E8-N(I8))</f>
        <v>0</v>
      </c>
      <c r="L8" s="78" t="str">
        <f aca="true">IF(E8="","",IF(K8&lt;=0,"Paid",IF(AND(G8&lt;&gt;"",TODAY()&gt;G8),"Overdue",IF(N(I8)&gt;0,"Partial","Open"))))</f>
        <v>Paid</v>
      </c>
      <c r="M8" s="66" t="n">
        <f aca="true">IF(OR(E8="",G8=""),"",IF(K8&lt;=0,IF(H8="","",MAX(0,H8-G8)),MAX(0,TODAY()-G8)))</f>
        <v>0</v>
      </c>
      <c r="N8" s="78" t="str">
        <f aca="true">IF(OR(E8="",G8=""),"",IF(K8&lt;=0,"",IF(TODAY()&lt;=G8,"Not due yet",IF(TODAY()-G8&lt;=30,"1-30 days late",IF(TODAY()-G8&lt;=60,"31-60 days late",IF(TODAY()-G8&lt;=90,"61-90 days late","90+ days late"))))))</f>
        <v/>
      </c>
      <c r="O8" s="66" t="n">
        <f aca="false">IF(OR(H8="",B8="",K8&gt;0),"",H8-B8)</f>
        <v>24</v>
      </c>
      <c r="Q8" s="78" t="s">
        <v>294</v>
      </c>
      <c r="R8" s="35" t="n">
        <f aca="false">SUMIFS($K$6:$K$505,$N$6:$N$505,Q8)</f>
        <v>500</v>
      </c>
    </row>
    <row r="9" customFormat="false" ht="15" hidden="false" customHeight="false" outlineLevel="0" collapsed="false">
      <c r="A9" s="51" t="n">
        <v>1004</v>
      </c>
      <c r="B9" s="65" t="n">
        <v>46053</v>
      </c>
      <c r="C9" s="51" t="s">
        <v>216</v>
      </c>
      <c r="D9" s="51" t="s">
        <v>293</v>
      </c>
      <c r="E9" s="76" t="n">
        <v>1100</v>
      </c>
      <c r="F9" s="66" t="n">
        <f aca="false">IF(C9="","",IFERROR(1/(1/INDEX(Clients!$H$6:$H$25,MATCH(C9,Clients!$B$6:$B$25,0))),Settings!$C$10))</f>
        <v>15</v>
      </c>
      <c r="G9" s="77" t="n">
        <f aca="false">IF(OR(B9="",F9=""),"",B9+F9)</f>
        <v>46068</v>
      </c>
      <c r="H9" s="65" t="n">
        <v>46087</v>
      </c>
      <c r="I9" s="76" t="n">
        <v>1100</v>
      </c>
      <c r="J9" s="51" t="s">
        <v>144</v>
      </c>
      <c r="K9" s="73" t="n">
        <f aca="false">IF(E9="","",E9-N(I9))</f>
        <v>0</v>
      </c>
      <c r="L9" s="78" t="str">
        <f aca="true">IF(E9="","",IF(K9&lt;=0,"Paid",IF(AND(G9&lt;&gt;"",TODAY()&gt;G9),"Overdue",IF(N(I9)&gt;0,"Partial","Open"))))</f>
        <v>Paid</v>
      </c>
      <c r="M9" s="66" t="n">
        <f aca="true">IF(OR(E9="",G9=""),"",IF(K9&lt;=0,IF(H9="","",MAX(0,H9-G9)),MAX(0,TODAY()-G9)))</f>
        <v>19</v>
      </c>
      <c r="N9" s="78" t="str">
        <f aca="true">IF(OR(E9="",G9=""),"",IF(K9&lt;=0,"",IF(TODAY()&lt;=G9,"Not due yet",IF(TODAY()-G9&lt;=30,"1-30 days late",IF(TODAY()-G9&lt;=60,"31-60 days late",IF(TODAY()-G9&lt;=90,"61-90 days late","90+ days late"))))))</f>
        <v/>
      </c>
      <c r="O9" s="66" t="n">
        <f aca="false">IF(OR(H9="",B9="",K9&gt;0),"",H9-B9)</f>
        <v>34</v>
      </c>
      <c r="Q9" s="78" t="s">
        <v>295</v>
      </c>
      <c r="R9" s="35" t="n">
        <f aca="false">SUMIFS($K$6:$K$505,$N$6:$N$505,Q9)</f>
        <v>0</v>
      </c>
    </row>
    <row r="10" customFormat="false" ht="15" hidden="false" customHeight="false" outlineLevel="0" collapsed="false">
      <c r="A10" s="51" t="n">
        <v>1005</v>
      </c>
      <c r="B10" s="65" t="n">
        <v>46054</v>
      </c>
      <c r="C10" s="51" t="s">
        <v>213</v>
      </c>
      <c r="D10" s="51" t="s">
        <v>296</v>
      </c>
      <c r="E10" s="76" t="n">
        <v>2200</v>
      </c>
      <c r="F10" s="66" t="n">
        <f aca="false">IF(C10="","",IFERROR(1/(1/INDEX(Clients!$H$6:$H$25,MATCH(C10,Clients!$B$6:$B$25,0))),Settings!$C$10))</f>
        <v>15</v>
      </c>
      <c r="G10" s="77" t="n">
        <f aca="false">IF(OR(B10="",F10=""),"",B10+F10)</f>
        <v>46069</v>
      </c>
      <c r="H10" s="65" t="n">
        <v>46064</v>
      </c>
      <c r="I10" s="76" t="n">
        <v>2200</v>
      </c>
      <c r="J10" s="51" t="s">
        <v>113</v>
      </c>
      <c r="K10" s="73" t="n">
        <f aca="false">IF(E10="","",E10-N(I10))</f>
        <v>0</v>
      </c>
      <c r="L10" s="78" t="str">
        <f aca="true">IF(E10="","",IF(K10&lt;=0,"Paid",IF(AND(G10&lt;&gt;"",TODAY()&gt;G10),"Overdue",IF(N(I10)&gt;0,"Partial","Open"))))</f>
        <v>Paid</v>
      </c>
      <c r="M10" s="66" t="n">
        <f aca="true">IF(OR(E10="",G10=""),"",IF(K10&lt;=0,IF(H10="","",MAX(0,H10-G10)),MAX(0,TODAY()-G10)))</f>
        <v>0</v>
      </c>
      <c r="N10" s="78" t="str">
        <f aca="true">IF(OR(E10="",G10=""),"",IF(K10&lt;=0,"",IF(TODAY()&lt;=G10,"Not due yet",IF(TODAY()-G10&lt;=30,"1-30 days late",IF(TODAY()-G10&lt;=60,"31-60 days late",IF(TODAY()-G10&lt;=90,"61-90 days late","90+ days late"))))))</f>
        <v/>
      </c>
      <c r="O10" s="66" t="n">
        <f aca="false">IF(OR(H10="",B10="",K10&gt;0),"",H10-B10)</f>
        <v>10</v>
      </c>
      <c r="Q10" s="78" t="s">
        <v>297</v>
      </c>
      <c r="R10" s="35" t="n">
        <f aca="false">SUMIFS($K$6:$K$505,$N$6:$N$505,Q10)</f>
        <v>0</v>
      </c>
    </row>
    <row r="11" customFormat="false" ht="15" hidden="false" customHeight="false" outlineLevel="0" collapsed="false">
      <c r="A11" s="51" t="n">
        <v>1006</v>
      </c>
      <c r="B11" s="65" t="n">
        <v>46054</v>
      </c>
      <c r="C11" s="51" t="s">
        <v>204</v>
      </c>
      <c r="D11" s="51" t="s">
        <v>296</v>
      </c>
      <c r="E11" s="76" t="n">
        <v>3500</v>
      </c>
      <c r="F11" s="66" t="n">
        <f aca="false">IF(C11="","",IFERROR(1/(1/INDEX(Clients!$H$6:$H$25,MATCH(C11,Clients!$B$6:$B$25,0))),Settings!$C$10))</f>
        <v>15</v>
      </c>
      <c r="G11" s="77" t="n">
        <f aca="false">IF(OR(B11="",F11=""),"",B11+F11)</f>
        <v>46069</v>
      </c>
      <c r="H11" s="65" t="n">
        <v>46063</v>
      </c>
      <c r="I11" s="76" t="n">
        <v>3500</v>
      </c>
      <c r="J11" s="51" t="s">
        <v>113</v>
      </c>
      <c r="K11" s="73" t="n">
        <f aca="false">IF(E11="","",E11-N(I11))</f>
        <v>0</v>
      </c>
      <c r="L11" s="78" t="str">
        <f aca="true">IF(E11="","",IF(K11&lt;=0,"Paid",IF(AND(G11&lt;&gt;"",TODAY()&gt;G11),"Overdue",IF(N(I11)&gt;0,"Partial","Open"))))</f>
        <v>Paid</v>
      </c>
      <c r="M11" s="66" t="n">
        <f aca="true">IF(OR(E11="",G11=""),"",IF(K11&lt;=0,IF(H11="","",MAX(0,H11-G11)),MAX(0,TODAY()-G11)))</f>
        <v>0</v>
      </c>
      <c r="N11" s="78" t="str">
        <f aca="true">IF(OR(E11="",G11=""),"",IF(K11&lt;=0,"",IF(TODAY()&lt;=G11,"Not due yet",IF(TODAY()-G11&lt;=30,"1-30 days late",IF(TODAY()-G11&lt;=60,"31-60 days late",IF(TODAY()-G11&lt;=90,"61-90 days late","90+ days late"))))))</f>
        <v/>
      </c>
      <c r="O11" s="66" t="n">
        <f aca="false">IF(OR(H11="",B11="",K11&gt;0),"",H11-B11)</f>
        <v>9</v>
      </c>
      <c r="Q11" s="34" t="s">
        <v>298</v>
      </c>
      <c r="R11" s="55" t="n">
        <f aca="false">SUM(R6:R10)</f>
        <v>11215</v>
      </c>
    </row>
    <row r="12" customFormat="false" ht="15" hidden="false" customHeight="false" outlineLevel="0" collapsed="false">
      <c r="A12" s="51" t="n">
        <v>1007</v>
      </c>
      <c r="B12" s="65" t="n">
        <v>46081</v>
      </c>
      <c r="C12" s="51" t="s">
        <v>210</v>
      </c>
      <c r="D12" s="51" t="s">
        <v>299</v>
      </c>
      <c r="E12" s="76" t="n">
        <v>1552.5</v>
      </c>
      <c r="F12" s="66" t="n">
        <f aca="false">IF(C12="","",IFERROR(1/(1/INDEX(Clients!$H$6:$H$25,MATCH(C12,Clients!$B$6:$B$25,0))),Settings!$C$10))</f>
        <v>30</v>
      </c>
      <c r="G12" s="77" t="n">
        <f aca="false">IF(OR(B12="",F12=""),"",B12+F12)</f>
        <v>46111</v>
      </c>
      <c r="H12" s="65" t="n">
        <v>46112</v>
      </c>
      <c r="I12" s="76" t="n">
        <v>1552.5</v>
      </c>
      <c r="J12" s="51" t="s">
        <v>55</v>
      </c>
      <c r="K12" s="73" t="n">
        <f aca="false">IF(E12="","",E12-N(I12))</f>
        <v>0</v>
      </c>
      <c r="L12" s="78" t="str">
        <f aca="true">IF(E12="","",IF(K12&lt;=0,"Paid",IF(AND(G12&lt;&gt;"",TODAY()&gt;G12),"Overdue",IF(N(I12)&gt;0,"Partial","Open"))))</f>
        <v>Paid</v>
      </c>
      <c r="M12" s="66" t="n">
        <f aca="true">IF(OR(E12="",G12=""),"",IF(K12&lt;=0,IF(H12="","",MAX(0,H12-G12)),MAX(0,TODAY()-G12)))</f>
        <v>1</v>
      </c>
      <c r="N12" s="78" t="str">
        <f aca="true">IF(OR(E12="",G12=""),"",IF(K12&lt;=0,"",IF(TODAY()&lt;=G12,"Not due yet",IF(TODAY()-G12&lt;=30,"1-30 days late",IF(TODAY()-G12&lt;=60,"31-60 days late",IF(TODAY()-G12&lt;=90,"61-90 days late","90+ days late"))))))</f>
        <v/>
      </c>
      <c r="O12" s="66" t="n">
        <f aca="false">IF(OR(H12="",B12="",K12&gt;0),"",H12-B12)</f>
        <v>31</v>
      </c>
    </row>
    <row r="13" customFormat="false" ht="15" hidden="false" customHeight="true" outlineLevel="0" collapsed="false">
      <c r="A13" s="51" t="n">
        <v>1008</v>
      </c>
      <c r="B13" s="65" t="n">
        <v>46081</v>
      </c>
      <c r="C13" s="51" t="s">
        <v>207</v>
      </c>
      <c r="D13" s="51" t="s">
        <v>299</v>
      </c>
      <c r="E13" s="76" t="n">
        <v>2750</v>
      </c>
      <c r="F13" s="66" t="n">
        <f aca="false">IF(C13="","",IFERROR(1/(1/INDEX(Clients!$H$6:$H$25,MATCH(C13,Clients!$B$6:$B$25,0))),Settings!$C$10))</f>
        <v>30</v>
      </c>
      <c r="G13" s="77" t="n">
        <f aca="false">IF(OR(B13="",F13=""),"",B13+F13)</f>
        <v>46111</v>
      </c>
      <c r="H13" s="65" t="n">
        <v>46101</v>
      </c>
      <c r="I13" s="76" t="n">
        <v>2750</v>
      </c>
      <c r="J13" s="51" t="s">
        <v>122</v>
      </c>
      <c r="K13" s="73" t="n">
        <f aca="false">IF(E13="","",E13-N(I13))</f>
        <v>0</v>
      </c>
      <c r="L13" s="78" t="str">
        <f aca="true">IF(E13="","",IF(K13&lt;=0,"Paid",IF(AND(G13&lt;&gt;"",TODAY()&gt;G13),"Overdue",IF(N(I13)&gt;0,"Partial","Open"))))</f>
        <v>Paid</v>
      </c>
      <c r="M13" s="66" t="n">
        <f aca="true">IF(OR(E13="",G13=""),"",IF(K13&lt;=0,IF(H13="","",MAX(0,H13-G13)),MAX(0,TODAY()-G13)))</f>
        <v>0</v>
      </c>
      <c r="N13" s="78" t="str">
        <f aca="true">IF(OR(E13="",G13=""),"",IF(K13&lt;=0,"",IF(TODAY()&lt;=G13,"Not due yet",IF(TODAY()-G13&lt;=30,"1-30 days late",IF(TODAY()-G13&lt;=60,"31-60 days late",IF(TODAY()-G13&lt;=90,"61-90 days late","90+ days late"))))))</f>
        <v/>
      </c>
      <c r="O13" s="66" t="n">
        <f aca="false">IF(OR(H13="",B13="",K13&gt;0),"",H13-B13)</f>
        <v>20</v>
      </c>
      <c r="Q13" s="61" t="s">
        <v>300</v>
      </c>
      <c r="R13" s="61"/>
    </row>
    <row r="14" customFormat="false" ht="15" hidden="false" customHeight="false" outlineLevel="0" collapsed="false">
      <c r="A14" s="51" t="n">
        <v>1009</v>
      </c>
      <c r="B14" s="65" t="n">
        <v>46081</v>
      </c>
      <c r="C14" s="51" t="s">
        <v>216</v>
      </c>
      <c r="D14" s="51" t="s">
        <v>299</v>
      </c>
      <c r="E14" s="76" t="n">
        <v>825</v>
      </c>
      <c r="F14" s="66" t="n">
        <f aca="false">IF(C14="","",IFERROR(1/(1/INDEX(Clients!$H$6:$H$25,MATCH(C14,Clients!$B$6:$B$25,0))),Settings!$C$10))</f>
        <v>15</v>
      </c>
      <c r="G14" s="77" t="n">
        <f aca="false">IF(OR(B14="",F14=""),"",B14+F14)</f>
        <v>46096</v>
      </c>
      <c r="H14" s="65" t="n">
        <v>46112</v>
      </c>
      <c r="I14" s="76" t="n">
        <v>825</v>
      </c>
      <c r="J14" s="51" t="s">
        <v>144</v>
      </c>
      <c r="K14" s="73" t="n">
        <f aca="false">IF(E14="","",E14-N(I14))</f>
        <v>0</v>
      </c>
      <c r="L14" s="78" t="str">
        <f aca="true">IF(E14="","",IF(K14&lt;=0,"Paid",IF(AND(G14&lt;&gt;"",TODAY()&gt;G14),"Overdue",IF(N(I14)&gt;0,"Partial","Open"))))</f>
        <v>Paid</v>
      </c>
      <c r="M14" s="66" t="n">
        <f aca="true">IF(OR(E14="",G14=""),"",IF(K14&lt;=0,IF(H14="","",MAX(0,H14-G14)),MAX(0,TODAY()-G14)))</f>
        <v>16</v>
      </c>
      <c r="N14" s="78" t="str">
        <f aca="true">IF(OR(E14="",G14=""),"",IF(K14&lt;=0,"",IF(TODAY()&lt;=G14,"Not due yet",IF(TODAY()-G14&lt;=30,"1-30 days late",IF(TODAY()-G14&lt;=60,"31-60 days late",IF(TODAY()-G14&lt;=90,"61-90 days late","90+ days late"))))))</f>
        <v/>
      </c>
      <c r="O14" s="66" t="n">
        <f aca="false">IF(OR(H14="",B14="",K14&gt;0),"",H14-B14)</f>
        <v>31</v>
      </c>
      <c r="Q14" s="61"/>
      <c r="R14" s="61"/>
    </row>
    <row r="15" customFormat="false" ht="15" hidden="false" customHeight="false" outlineLevel="0" collapsed="false">
      <c r="A15" s="51" t="n">
        <v>1010</v>
      </c>
      <c r="B15" s="65" t="n">
        <v>46082</v>
      </c>
      <c r="C15" s="51" t="s">
        <v>213</v>
      </c>
      <c r="D15" s="51" t="s">
        <v>301</v>
      </c>
      <c r="E15" s="76" t="n">
        <v>2200</v>
      </c>
      <c r="F15" s="66" t="n">
        <f aca="false">IF(C15="","",IFERROR(1/(1/INDEX(Clients!$H$6:$H$25,MATCH(C15,Clients!$B$6:$B$25,0))),Settings!$C$10))</f>
        <v>15</v>
      </c>
      <c r="G15" s="77" t="n">
        <f aca="false">IF(OR(B15="",F15=""),"",B15+F15)</f>
        <v>46097</v>
      </c>
      <c r="H15" s="65" t="n">
        <v>46090</v>
      </c>
      <c r="I15" s="76" t="n">
        <v>2200</v>
      </c>
      <c r="J15" s="51" t="s">
        <v>113</v>
      </c>
      <c r="K15" s="73" t="n">
        <f aca="false">IF(E15="","",E15-N(I15))</f>
        <v>0</v>
      </c>
      <c r="L15" s="78" t="str">
        <f aca="true">IF(E15="","",IF(K15&lt;=0,"Paid",IF(AND(G15&lt;&gt;"",TODAY()&gt;G15),"Overdue",IF(N(I15)&gt;0,"Partial","Open"))))</f>
        <v>Paid</v>
      </c>
      <c r="M15" s="66" t="n">
        <f aca="true">IF(OR(E15="",G15=""),"",IF(K15&lt;=0,IF(H15="","",MAX(0,H15-G15)),MAX(0,TODAY()-G15)))</f>
        <v>0</v>
      </c>
      <c r="N15" s="78" t="str">
        <f aca="true">IF(OR(E15="",G15=""),"",IF(K15&lt;=0,"",IF(TODAY()&lt;=G15,"Not due yet",IF(TODAY()-G15&lt;=30,"1-30 days late",IF(TODAY()-G15&lt;=60,"31-60 days late",IF(TODAY()-G15&lt;=90,"61-90 days late","90+ days late"))))))</f>
        <v/>
      </c>
      <c r="O15" s="66" t="n">
        <f aca="false">IF(OR(H15="",B15="",K15&gt;0),"",H15-B15)</f>
        <v>8</v>
      </c>
      <c r="Q15" s="61"/>
      <c r="R15" s="61"/>
    </row>
    <row r="16" customFormat="false" ht="15" hidden="false" customHeight="false" outlineLevel="0" collapsed="false">
      <c r="A16" s="51" t="n">
        <v>1011</v>
      </c>
      <c r="B16" s="65" t="n">
        <v>46082</v>
      </c>
      <c r="C16" s="51" t="s">
        <v>204</v>
      </c>
      <c r="D16" s="51" t="s">
        <v>301</v>
      </c>
      <c r="E16" s="76" t="n">
        <v>3500</v>
      </c>
      <c r="F16" s="66" t="n">
        <f aca="false">IF(C16="","",IFERROR(1/(1/INDEX(Clients!$H$6:$H$25,MATCH(C16,Clients!$B$6:$B$25,0))),Settings!$C$10))</f>
        <v>15</v>
      </c>
      <c r="G16" s="77" t="n">
        <f aca="false">IF(OR(B16="",F16=""),"",B16+F16)</f>
        <v>46097</v>
      </c>
      <c r="H16" s="65" t="n">
        <v>46085</v>
      </c>
      <c r="I16" s="76" t="n">
        <v>3500</v>
      </c>
      <c r="J16" s="51" t="s">
        <v>113</v>
      </c>
      <c r="K16" s="73" t="n">
        <f aca="false">IF(E16="","",E16-N(I16))</f>
        <v>0</v>
      </c>
      <c r="L16" s="78" t="str">
        <f aca="true">IF(E16="","",IF(K16&lt;=0,"Paid",IF(AND(G16&lt;&gt;"",TODAY()&gt;G16),"Overdue",IF(N(I16)&gt;0,"Partial","Open"))))</f>
        <v>Paid</v>
      </c>
      <c r="M16" s="66" t="n">
        <f aca="true">IF(OR(E16="",G16=""),"",IF(K16&lt;=0,IF(H16="","",MAX(0,H16-G16)),MAX(0,TODAY()-G16)))</f>
        <v>0</v>
      </c>
      <c r="N16" s="78" t="str">
        <f aca="true">IF(OR(E16="",G16=""),"",IF(K16&lt;=0,"",IF(TODAY()&lt;=G16,"Not due yet",IF(TODAY()-G16&lt;=30,"1-30 days late",IF(TODAY()-G16&lt;=60,"31-60 days late",IF(TODAY()-G16&lt;=90,"61-90 days late","90+ days late"))))))</f>
        <v/>
      </c>
      <c r="O16" s="66" t="n">
        <f aca="false">IF(OR(H16="",B16="",K16&gt;0),"",H16-B16)</f>
        <v>3</v>
      </c>
      <c r="Q16" s="61"/>
      <c r="R16" s="61"/>
    </row>
    <row r="17" customFormat="false" ht="15" hidden="false" customHeight="false" outlineLevel="0" collapsed="false">
      <c r="A17" s="51" t="n">
        <v>1012</v>
      </c>
      <c r="B17" s="65" t="n">
        <v>46083</v>
      </c>
      <c r="C17" s="51" t="s">
        <v>219</v>
      </c>
      <c r="D17" s="51" t="s">
        <v>302</v>
      </c>
      <c r="E17" s="76" t="n">
        <v>4500</v>
      </c>
      <c r="F17" s="66" t="n">
        <f aca="false">IF(C17="","",IFERROR(1/(1/INDEX(Clients!$H$6:$H$25,MATCH(C17,Clients!$B$6:$B$25,0))),Settings!$C$10))</f>
        <v>15</v>
      </c>
      <c r="G17" s="77" t="n">
        <f aca="false">IF(OR(B17="",F17=""),"",B17+F17)</f>
        <v>46098</v>
      </c>
      <c r="H17" s="65" t="n">
        <v>46097</v>
      </c>
      <c r="I17" s="76" t="n">
        <v>4500</v>
      </c>
      <c r="J17" s="51" t="s">
        <v>122</v>
      </c>
      <c r="K17" s="73" t="n">
        <f aca="false">IF(E17="","",E17-N(I17))</f>
        <v>0</v>
      </c>
      <c r="L17" s="78" t="str">
        <f aca="true">IF(E17="","",IF(K17&lt;=0,"Paid",IF(AND(G17&lt;&gt;"",TODAY()&gt;G17),"Overdue",IF(N(I17)&gt;0,"Partial","Open"))))</f>
        <v>Paid</v>
      </c>
      <c r="M17" s="66" t="n">
        <f aca="true">IF(OR(E17="",G17=""),"",IF(K17&lt;=0,IF(H17="","",MAX(0,H17-G17)),MAX(0,TODAY()-G17)))</f>
        <v>0</v>
      </c>
      <c r="N17" s="78" t="str">
        <f aca="true">IF(OR(E17="",G17=""),"",IF(K17&lt;=0,"",IF(TODAY()&lt;=G17,"Not due yet",IF(TODAY()-G17&lt;=30,"1-30 days late",IF(TODAY()-G17&lt;=60,"31-60 days late",IF(TODAY()-G17&lt;=90,"61-90 days late","90+ days late"))))))</f>
        <v/>
      </c>
      <c r="O17" s="66" t="n">
        <f aca="false">IF(OR(H17="",B17="",K17&gt;0),"",H17-B17)</f>
        <v>14</v>
      </c>
    </row>
    <row r="18" customFormat="false" ht="15" hidden="false" customHeight="false" outlineLevel="0" collapsed="false">
      <c r="A18" s="51" t="n">
        <v>1013</v>
      </c>
      <c r="B18" s="65" t="n">
        <v>46112</v>
      </c>
      <c r="C18" s="51" t="s">
        <v>210</v>
      </c>
      <c r="D18" s="51" t="s">
        <v>303</v>
      </c>
      <c r="E18" s="76" t="n">
        <v>2160</v>
      </c>
      <c r="F18" s="66" t="n">
        <f aca="false">IF(C18="","",IFERROR(1/(1/INDEX(Clients!$H$6:$H$25,MATCH(C18,Clients!$B$6:$B$25,0))),Settings!$C$10))</f>
        <v>30</v>
      </c>
      <c r="G18" s="77" t="n">
        <f aca="false">IF(OR(B18="",F18=""),"",B18+F18)</f>
        <v>46142</v>
      </c>
      <c r="H18" s="65" t="n">
        <v>46146</v>
      </c>
      <c r="I18" s="76" t="n">
        <v>2160</v>
      </c>
      <c r="J18" s="51" t="s">
        <v>55</v>
      </c>
      <c r="K18" s="73" t="n">
        <f aca="false">IF(E18="","",E18-N(I18))</f>
        <v>0</v>
      </c>
      <c r="L18" s="78" t="str">
        <f aca="true">IF(E18="","",IF(K18&lt;=0,"Paid",IF(AND(G18&lt;&gt;"",TODAY()&gt;G18),"Overdue",IF(N(I18)&gt;0,"Partial","Open"))))</f>
        <v>Paid</v>
      </c>
      <c r="M18" s="66" t="n">
        <f aca="true">IF(OR(E18="",G18=""),"",IF(K18&lt;=0,IF(H18="","",MAX(0,H18-G18)),MAX(0,TODAY()-G18)))</f>
        <v>4</v>
      </c>
      <c r="N18" s="78" t="str">
        <f aca="true">IF(OR(E18="",G18=""),"",IF(K18&lt;=0,"",IF(TODAY()&lt;=G18,"Not due yet",IF(TODAY()-G18&lt;=30,"1-30 days late",IF(TODAY()-G18&lt;=60,"31-60 days late",IF(TODAY()-G18&lt;=90,"61-90 days late","90+ days late"))))))</f>
        <v/>
      </c>
      <c r="O18" s="66" t="n">
        <f aca="false">IF(OR(H18="",B18="",K18&gt;0),"",H18-B18)</f>
        <v>34</v>
      </c>
    </row>
    <row r="19" customFormat="false" ht="15" hidden="false" customHeight="false" outlineLevel="0" collapsed="false">
      <c r="A19" s="51" t="n">
        <v>1014</v>
      </c>
      <c r="B19" s="65" t="n">
        <v>46112</v>
      </c>
      <c r="C19" s="51" t="s">
        <v>207</v>
      </c>
      <c r="D19" s="51" t="s">
        <v>303</v>
      </c>
      <c r="E19" s="76" t="n">
        <v>2750</v>
      </c>
      <c r="F19" s="66" t="n">
        <f aca="false">IF(C19="","",IFERROR(1/(1/INDEX(Clients!$H$6:$H$25,MATCH(C19,Clients!$B$6:$B$25,0))),Settings!$C$10))</f>
        <v>30</v>
      </c>
      <c r="G19" s="77" t="n">
        <f aca="false">IF(OR(B19="",F19=""),"",B19+F19)</f>
        <v>46142</v>
      </c>
      <c r="H19" s="65" t="n">
        <v>46139</v>
      </c>
      <c r="I19" s="76" t="n">
        <v>2750</v>
      </c>
      <c r="J19" s="51" t="s">
        <v>122</v>
      </c>
      <c r="K19" s="73" t="n">
        <f aca="false">IF(E19="","",E19-N(I19))</f>
        <v>0</v>
      </c>
      <c r="L19" s="78" t="str">
        <f aca="true">IF(E19="","",IF(K19&lt;=0,"Paid",IF(AND(G19&lt;&gt;"",TODAY()&gt;G19),"Overdue",IF(N(I19)&gt;0,"Partial","Open"))))</f>
        <v>Paid</v>
      </c>
      <c r="M19" s="66" t="n">
        <f aca="true">IF(OR(E19="",G19=""),"",IF(K19&lt;=0,IF(H19="","",MAX(0,H19-G19)),MAX(0,TODAY()-G19)))</f>
        <v>0</v>
      </c>
      <c r="N19" s="78" t="str">
        <f aca="true">IF(OR(E19="",G19=""),"",IF(K19&lt;=0,"",IF(TODAY()&lt;=G19,"Not due yet",IF(TODAY()-G19&lt;=30,"1-30 days late",IF(TODAY()-G19&lt;=60,"31-60 days late",IF(TODAY()-G19&lt;=90,"61-90 days late","90+ days late"))))))</f>
        <v/>
      </c>
      <c r="O19" s="66" t="n">
        <f aca="false">IF(OR(H19="",B19="",K19&gt;0),"",H19-B19)</f>
        <v>27</v>
      </c>
    </row>
    <row r="20" customFormat="false" ht="15" hidden="false" customHeight="false" outlineLevel="0" collapsed="false">
      <c r="A20" s="51" t="n">
        <v>1015</v>
      </c>
      <c r="B20" s="65" t="n">
        <v>46112</v>
      </c>
      <c r="C20" s="51" t="s">
        <v>216</v>
      </c>
      <c r="D20" s="51" t="s">
        <v>303</v>
      </c>
      <c r="E20" s="76" t="n">
        <v>975</v>
      </c>
      <c r="F20" s="66" t="n">
        <f aca="false">IF(C20="","",IFERROR(1/(1/INDEX(Clients!$H$6:$H$25,MATCH(C20,Clients!$B$6:$B$25,0))),Settings!$C$10))</f>
        <v>15</v>
      </c>
      <c r="G20" s="77" t="n">
        <f aca="false">IF(OR(B20="",F20=""),"",B20+F20)</f>
        <v>46127</v>
      </c>
      <c r="H20" s="65" t="n">
        <v>46143</v>
      </c>
      <c r="I20" s="76" t="n">
        <v>975</v>
      </c>
      <c r="J20" s="51" t="s">
        <v>144</v>
      </c>
      <c r="K20" s="73" t="n">
        <f aca="false">IF(E20="","",E20-N(I20))</f>
        <v>0</v>
      </c>
      <c r="L20" s="78" t="str">
        <f aca="true">IF(E20="","",IF(K20&lt;=0,"Paid",IF(AND(G20&lt;&gt;"",TODAY()&gt;G20),"Overdue",IF(N(I20)&gt;0,"Partial","Open"))))</f>
        <v>Paid</v>
      </c>
      <c r="M20" s="66" t="n">
        <f aca="true">IF(OR(E20="",G20=""),"",IF(K20&lt;=0,IF(H20="","",MAX(0,H20-G20)),MAX(0,TODAY()-G20)))</f>
        <v>16</v>
      </c>
      <c r="N20" s="78" t="str">
        <f aca="true">IF(OR(E20="",G20=""),"",IF(K20&lt;=0,"",IF(TODAY()&lt;=G20,"Not due yet",IF(TODAY()-G20&lt;=30,"1-30 days late",IF(TODAY()-G20&lt;=60,"31-60 days late",IF(TODAY()-G20&lt;=90,"61-90 days late","90+ days late"))))))</f>
        <v/>
      </c>
      <c r="O20" s="66" t="n">
        <f aca="false">IF(OR(H20="",B20="",K20&gt;0),"",H20-B20)</f>
        <v>31</v>
      </c>
    </row>
    <row r="21" customFormat="false" ht="15" hidden="false" customHeight="false" outlineLevel="0" collapsed="false">
      <c r="A21" s="51" t="n">
        <v>1016</v>
      </c>
      <c r="B21" s="65" t="n">
        <v>46113</v>
      </c>
      <c r="C21" s="51" t="s">
        <v>213</v>
      </c>
      <c r="D21" s="51" t="s">
        <v>304</v>
      </c>
      <c r="E21" s="76" t="n">
        <v>2200</v>
      </c>
      <c r="F21" s="66" t="n">
        <f aca="false">IF(C21="","",IFERROR(1/(1/INDEX(Clients!$H$6:$H$25,MATCH(C21,Clients!$B$6:$B$25,0))),Settings!$C$10))</f>
        <v>15</v>
      </c>
      <c r="G21" s="77" t="n">
        <f aca="false">IF(OR(B21="",F21=""),"",B21+F21)</f>
        <v>46128</v>
      </c>
      <c r="H21" s="65" t="n">
        <v>46125</v>
      </c>
      <c r="I21" s="76" t="n">
        <v>2200</v>
      </c>
      <c r="J21" s="51" t="s">
        <v>113</v>
      </c>
      <c r="K21" s="73" t="n">
        <f aca="false">IF(E21="","",E21-N(I21))</f>
        <v>0</v>
      </c>
      <c r="L21" s="78" t="str">
        <f aca="true">IF(E21="","",IF(K21&lt;=0,"Paid",IF(AND(G21&lt;&gt;"",TODAY()&gt;G21),"Overdue",IF(N(I21)&gt;0,"Partial","Open"))))</f>
        <v>Paid</v>
      </c>
      <c r="M21" s="66" t="n">
        <f aca="true">IF(OR(E21="",G21=""),"",IF(K21&lt;=0,IF(H21="","",MAX(0,H21-G21)),MAX(0,TODAY()-G21)))</f>
        <v>0</v>
      </c>
      <c r="N21" s="78" t="str">
        <f aca="true">IF(OR(E21="",G21=""),"",IF(K21&lt;=0,"",IF(TODAY()&lt;=G21,"Not due yet",IF(TODAY()-G21&lt;=30,"1-30 days late",IF(TODAY()-G21&lt;=60,"31-60 days late",IF(TODAY()-G21&lt;=90,"61-90 days late","90+ days late"))))))</f>
        <v/>
      </c>
      <c r="O21" s="66" t="n">
        <f aca="false">IF(OR(H21="",B21="",K21&gt;0),"",H21-B21)</f>
        <v>12</v>
      </c>
    </row>
    <row r="22" customFormat="false" ht="15" hidden="false" customHeight="false" outlineLevel="0" collapsed="false">
      <c r="A22" s="51" t="n">
        <v>1017</v>
      </c>
      <c r="B22" s="65" t="n">
        <v>46113</v>
      </c>
      <c r="C22" s="51" t="s">
        <v>204</v>
      </c>
      <c r="D22" s="51" t="s">
        <v>304</v>
      </c>
      <c r="E22" s="76" t="n">
        <v>3500</v>
      </c>
      <c r="F22" s="66" t="n">
        <f aca="false">IF(C22="","",IFERROR(1/(1/INDEX(Clients!$H$6:$H$25,MATCH(C22,Clients!$B$6:$B$25,0))),Settings!$C$10))</f>
        <v>15</v>
      </c>
      <c r="G22" s="77" t="n">
        <f aca="false">IF(OR(B22="",F22=""),"",B22+F22)</f>
        <v>46128</v>
      </c>
      <c r="H22" s="65" t="n">
        <v>46117</v>
      </c>
      <c r="I22" s="76" t="n">
        <v>3500</v>
      </c>
      <c r="J22" s="51" t="s">
        <v>113</v>
      </c>
      <c r="K22" s="73" t="n">
        <f aca="false">IF(E22="","",E22-N(I22))</f>
        <v>0</v>
      </c>
      <c r="L22" s="78" t="str">
        <f aca="true">IF(E22="","",IF(K22&lt;=0,"Paid",IF(AND(G22&lt;&gt;"",TODAY()&gt;G22),"Overdue",IF(N(I22)&gt;0,"Partial","Open"))))</f>
        <v>Paid</v>
      </c>
      <c r="M22" s="66" t="n">
        <f aca="true">IF(OR(E22="",G22=""),"",IF(K22&lt;=0,IF(H22="","",MAX(0,H22-G22)),MAX(0,TODAY()-G22)))</f>
        <v>0</v>
      </c>
      <c r="N22" s="78" t="str">
        <f aca="true">IF(OR(E22="",G22=""),"",IF(K22&lt;=0,"",IF(TODAY()&lt;=G22,"Not due yet",IF(TODAY()-G22&lt;=30,"1-30 days late",IF(TODAY()-G22&lt;=60,"31-60 days late",IF(TODAY()-G22&lt;=90,"61-90 days late","90+ days late"))))))</f>
        <v/>
      </c>
      <c r="O22" s="66" t="n">
        <f aca="false">IF(OR(H22="",B22="",K22&gt;0),"",H22-B22)</f>
        <v>4</v>
      </c>
    </row>
    <row r="23" customFormat="false" ht="15" hidden="false" customHeight="false" outlineLevel="0" collapsed="false">
      <c r="A23" s="51" t="n">
        <v>1018</v>
      </c>
      <c r="B23" s="65" t="n">
        <v>46142</v>
      </c>
      <c r="C23" s="51" t="s">
        <v>210</v>
      </c>
      <c r="D23" s="51" t="s">
        <v>305</v>
      </c>
      <c r="E23" s="76" t="n">
        <v>1991.25</v>
      </c>
      <c r="F23" s="66" t="n">
        <f aca="false">IF(C23="","",IFERROR(1/(1/INDEX(Clients!$H$6:$H$25,MATCH(C23,Clients!$B$6:$B$25,0))),Settings!$C$10))</f>
        <v>30</v>
      </c>
      <c r="G23" s="77" t="n">
        <f aca="false">IF(OR(B23="",F23=""),"",B23+F23)</f>
        <v>46172</v>
      </c>
      <c r="H23" s="65" t="n">
        <v>46181</v>
      </c>
      <c r="I23" s="76" t="n">
        <v>1991.25</v>
      </c>
      <c r="J23" s="51" t="s">
        <v>55</v>
      </c>
      <c r="K23" s="73" t="n">
        <f aca="false">IF(E23="","",E23-N(I23))</f>
        <v>0</v>
      </c>
      <c r="L23" s="78" t="str">
        <f aca="true">IF(E23="","",IF(K23&lt;=0,"Paid",IF(AND(G23&lt;&gt;"",TODAY()&gt;G23),"Overdue",IF(N(I23)&gt;0,"Partial","Open"))))</f>
        <v>Paid</v>
      </c>
      <c r="M23" s="66" t="n">
        <f aca="true">IF(OR(E23="",G23=""),"",IF(K23&lt;=0,IF(H23="","",MAX(0,H23-G23)),MAX(0,TODAY()-G23)))</f>
        <v>9</v>
      </c>
      <c r="N23" s="78" t="str">
        <f aca="true">IF(OR(E23="",G23=""),"",IF(K23&lt;=0,"",IF(TODAY()&lt;=G23,"Not due yet",IF(TODAY()-G23&lt;=30,"1-30 days late",IF(TODAY()-G23&lt;=60,"31-60 days late",IF(TODAY()-G23&lt;=90,"61-90 days late","90+ days late"))))))</f>
        <v/>
      </c>
      <c r="O23" s="66" t="n">
        <f aca="false">IF(OR(H23="",B23="",K23&gt;0),"",H23-B23)</f>
        <v>39</v>
      </c>
    </row>
    <row r="24" customFormat="false" ht="15" hidden="false" customHeight="false" outlineLevel="0" collapsed="false">
      <c r="A24" s="51" t="n">
        <v>1019</v>
      </c>
      <c r="B24" s="65" t="n">
        <v>46142</v>
      </c>
      <c r="C24" s="51" t="s">
        <v>207</v>
      </c>
      <c r="D24" s="51" t="s">
        <v>305</v>
      </c>
      <c r="E24" s="76" t="n">
        <v>2687.5</v>
      </c>
      <c r="F24" s="66" t="n">
        <f aca="false">IF(C24="","",IFERROR(1/(1/INDEX(Clients!$H$6:$H$25,MATCH(C24,Clients!$B$6:$B$25,0))),Settings!$C$10))</f>
        <v>30</v>
      </c>
      <c r="G24" s="77" t="n">
        <f aca="false">IF(OR(B24="",F24=""),"",B24+F24)</f>
        <v>46172</v>
      </c>
      <c r="H24" s="65" t="n">
        <v>46166</v>
      </c>
      <c r="I24" s="76" t="n">
        <v>2687.5</v>
      </c>
      <c r="J24" s="51" t="s">
        <v>122</v>
      </c>
      <c r="K24" s="73" t="n">
        <f aca="false">IF(E24="","",E24-N(I24))</f>
        <v>0</v>
      </c>
      <c r="L24" s="78" t="str">
        <f aca="true">IF(E24="","",IF(K24&lt;=0,"Paid",IF(AND(G24&lt;&gt;"",TODAY()&gt;G24),"Overdue",IF(N(I24)&gt;0,"Partial","Open"))))</f>
        <v>Paid</v>
      </c>
      <c r="M24" s="66" t="n">
        <f aca="true">IF(OR(E24="",G24=""),"",IF(K24&lt;=0,IF(H24="","",MAX(0,H24-G24)),MAX(0,TODAY()-G24)))</f>
        <v>0</v>
      </c>
      <c r="N24" s="78" t="str">
        <f aca="true">IF(OR(E24="",G24=""),"",IF(K24&lt;=0,"",IF(TODAY()&lt;=G24,"Not due yet",IF(TODAY()-G24&lt;=30,"1-30 days late",IF(TODAY()-G24&lt;=60,"31-60 days late",IF(TODAY()-G24&lt;=90,"61-90 days late","90+ days late"))))))</f>
        <v/>
      </c>
      <c r="O24" s="66" t="n">
        <f aca="false">IF(OR(H24="",B24="",K24&gt;0),"",H24-B24)</f>
        <v>24</v>
      </c>
    </row>
    <row r="25" customFormat="false" ht="15" hidden="false" customHeight="false" outlineLevel="0" collapsed="false">
      <c r="A25" s="51" t="n">
        <v>1020</v>
      </c>
      <c r="B25" s="65" t="n">
        <v>46142</v>
      </c>
      <c r="C25" s="51" t="s">
        <v>216</v>
      </c>
      <c r="D25" s="51" t="s">
        <v>305</v>
      </c>
      <c r="E25" s="76" t="n">
        <v>900</v>
      </c>
      <c r="F25" s="66" t="n">
        <f aca="false">IF(C25="","",IFERROR(1/(1/INDEX(Clients!$H$6:$H$25,MATCH(C25,Clients!$B$6:$B$25,0))),Settings!$C$10))</f>
        <v>15</v>
      </c>
      <c r="G25" s="77" t="n">
        <f aca="false">IF(OR(B25="",F25=""),"",B25+F25)</f>
        <v>46157</v>
      </c>
      <c r="H25" s="65" t="n">
        <v>46173</v>
      </c>
      <c r="I25" s="76" t="n">
        <v>900</v>
      </c>
      <c r="J25" s="51" t="s">
        <v>144</v>
      </c>
      <c r="K25" s="73" t="n">
        <f aca="false">IF(E25="","",E25-N(I25))</f>
        <v>0</v>
      </c>
      <c r="L25" s="78" t="str">
        <f aca="true">IF(E25="","",IF(K25&lt;=0,"Paid",IF(AND(G25&lt;&gt;"",TODAY()&gt;G25),"Overdue",IF(N(I25)&gt;0,"Partial","Open"))))</f>
        <v>Paid</v>
      </c>
      <c r="M25" s="66" t="n">
        <f aca="true">IF(OR(E25="",G25=""),"",IF(K25&lt;=0,IF(H25="","",MAX(0,H25-G25)),MAX(0,TODAY()-G25)))</f>
        <v>16</v>
      </c>
      <c r="N25" s="78" t="str">
        <f aca="true">IF(OR(E25="",G25=""),"",IF(K25&lt;=0,"",IF(TODAY()&lt;=G25,"Not due yet",IF(TODAY()-G25&lt;=30,"1-30 days late",IF(TODAY()-G25&lt;=60,"31-60 days late",IF(TODAY()-G25&lt;=90,"61-90 days late","90+ days late"))))))</f>
        <v/>
      </c>
      <c r="O25" s="66" t="n">
        <f aca="false">IF(OR(H25="",B25="",K25&gt;0),"",H25-B25)</f>
        <v>31</v>
      </c>
    </row>
    <row r="26" customFormat="false" ht="15" hidden="false" customHeight="false" outlineLevel="0" collapsed="false">
      <c r="A26" s="51" t="n">
        <v>1021</v>
      </c>
      <c r="B26" s="65" t="n">
        <v>46143</v>
      </c>
      <c r="C26" s="51" t="s">
        <v>213</v>
      </c>
      <c r="D26" s="51" t="s">
        <v>306</v>
      </c>
      <c r="E26" s="76" t="n">
        <v>2200</v>
      </c>
      <c r="F26" s="66" t="n">
        <f aca="false">IF(C26="","",IFERROR(1/(1/INDEX(Clients!$H$6:$H$25,MATCH(C26,Clients!$B$6:$B$25,0))),Settings!$C$10))</f>
        <v>15</v>
      </c>
      <c r="G26" s="77" t="n">
        <f aca="false">IF(OR(B26="",F26=""),"",B26+F26)</f>
        <v>46158</v>
      </c>
      <c r="H26" s="65" t="n">
        <v>46152</v>
      </c>
      <c r="I26" s="76" t="n">
        <v>2200</v>
      </c>
      <c r="J26" s="51" t="s">
        <v>113</v>
      </c>
      <c r="K26" s="73" t="n">
        <f aca="false">IF(E26="","",E26-N(I26))</f>
        <v>0</v>
      </c>
      <c r="L26" s="78" t="str">
        <f aca="true">IF(E26="","",IF(K26&lt;=0,"Paid",IF(AND(G26&lt;&gt;"",TODAY()&gt;G26),"Overdue",IF(N(I26)&gt;0,"Partial","Open"))))</f>
        <v>Paid</v>
      </c>
      <c r="M26" s="66" t="n">
        <f aca="true">IF(OR(E26="",G26=""),"",IF(K26&lt;=0,IF(H26="","",MAX(0,H26-G26)),MAX(0,TODAY()-G26)))</f>
        <v>0</v>
      </c>
      <c r="N26" s="78" t="str">
        <f aca="true">IF(OR(E26="",G26=""),"",IF(K26&lt;=0,"",IF(TODAY()&lt;=G26,"Not due yet",IF(TODAY()-G26&lt;=30,"1-30 days late",IF(TODAY()-G26&lt;=60,"31-60 days late",IF(TODAY()-G26&lt;=90,"61-90 days late","90+ days late"))))))</f>
        <v/>
      </c>
      <c r="O26" s="66" t="n">
        <f aca="false">IF(OR(H26="",B26="",K26&gt;0),"",H26-B26)</f>
        <v>9</v>
      </c>
    </row>
    <row r="27" customFormat="false" ht="15" hidden="false" customHeight="false" outlineLevel="0" collapsed="false">
      <c r="A27" s="51" t="n">
        <v>1022</v>
      </c>
      <c r="B27" s="65" t="n">
        <v>46143</v>
      </c>
      <c r="C27" s="51" t="s">
        <v>204</v>
      </c>
      <c r="D27" s="51" t="s">
        <v>306</v>
      </c>
      <c r="E27" s="76" t="n">
        <v>3500</v>
      </c>
      <c r="F27" s="66" t="n">
        <f aca="false">IF(C27="","",IFERROR(1/(1/INDEX(Clients!$H$6:$H$25,MATCH(C27,Clients!$B$6:$B$25,0))),Settings!$C$10))</f>
        <v>15</v>
      </c>
      <c r="G27" s="77" t="n">
        <f aca="false">IF(OR(B27="",F27=""),"",B27+F27)</f>
        <v>46158</v>
      </c>
      <c r="H27" s="65" t="n">
        <v>46147</v>
      </c>
      <c r="I27" s="76" t="n">
        <v>3500</v>
      </c>
      <c r="J27" s="51" t="s">
        <v>113</v>
      </c>
      <c r="K27" s="73" t="n">
        <f aca="false">IF(E27="","",E27-N(I27))</f>
        <v>0</v>
      </c>
      <c r="L27" s="78" t="str">
        <f aca="true">IF(E27="","",IF(K27&lt;=0,"Paid",IF(AND(G27&lt;&gt;"",TODAY()&gt;G27),"Overdue",IF(N(I27)&gt;0,"Partial","Open"))))</f>
        <v>Paid</v>
      </c>
      <c r="M27" s="66" t="n">
        <f aca="true">IF(OR(E27="",G27=""),"",IF(K27&lt;=0,IF(H27="","",MAX(0,H27-G27)),MAX(0,TODAY()-G27)))</f>
        <v>0</v>
      </c>
      <c r="N27" s="78" t="str">
        <f aca="true">IF(OR(E27="",G27=""),"",IF(K27&lt;=0,"",IF(TODAY()&lt;=G27,"Not due yet",IF(TODAY()-G27&lt;=30,"1-30 days late",IF(TODAY()-G27&lt;=60,"31-60 days late",IF(TODAY()-G27&lt;=90,"61-90 days late","90+ days late"))))))</f>
        <v/>
      </c>
      <c r="O27" s="66" t="n">
        <f aca="false">IF(OR(H27="",B27="",K27&gt;0),"",H27-B27)</f>
        <v>4</v>
      </c>
    </row>
    <row r="28" customFormat="false" ht="15" hidden="false" customHeight="false" outlineLevel="0" collapsed="false">
      <c r="A28" s="51" t="n">
        <v>1023</v>
      </c>
      <c r="B28" s="65" t="n">
        <v>46171</v>
      </c>
      <c r="C28" s="51" t="s">
        <v>219</v>
      </c>
      <c r="D28" s="51" t="s">
        <v>307</v>
      </c>
      <c r="E28" s="76" t="n">
        <v>4500</v>
      </c>
      <c r="F28" s="66" t="n">
        <f aca="false">IF(C28="","",IFERROR(1/(1/INDEX(Clients!$H$6:$H$25,MATCH(C28,Clients!$B$6:$B$25,0))),Settings!$C$10))</f>
        <v>15</v>
      </c>
      <c r="G28" s="77" t="n">
        <f aca="false">IF(OR(B28="",F28=""),"",B28+F28)</f>
        <v>46186</v>
      </c>
      <c r="H28" s="65" t="n">
        <v>46183</v>
      </c>
      <c r="I28" s="76" t="n">
        <v>4500</v>
      </c>
      <c r="J28" s="51" t="s">
        <v>122</v>
      </c>
      <c r="K28" s="73" t="n">
        <f aca="false">IF(E28="","",E28-N(I28))</f>
        <v>0</v>
      </c>
      <c r="L28" s="78" t="str">
        <f aca="true">IF(E28="","",IF(K28&lt;=0,"Paid",IF(AND(G28&lt;&gt;"",TODAY()&gt;G28),"Overdue",IF(N(I28)&gt;0,"Partial","Open"))))</f>
        <v>Paid</v>
      </c>
      <c r="M28" s="66" t="n">
        <f aca="true">IF(OR(E28="",G28=""),"",IF(K28&lt;=0,IF(H28="","",MAX(0,H28-G28)),MAX(0,TODAY()-G28)))</f>
        <v>0</v>
      </c>
      <c r="N28" s="78" t="str">
        <f aca="true">IF(OR(E28="",G28=""),"",IF(K28&lt;=0,"",IF(TODAY()&lt;=G28,"Not due yet",IF(TODAY()-G28&lt;=30,"1-30 days late",IF(TODAY()-G28&lt;=60,"31-60 days late",IF(TODAY()-G28&lt;=90,"61-90 days late","90+ days late"))))))</f>
        <v/>
      </c>
      <c r="O28" s="66" t="n">
        <f aca="false">IF(OR(H28="",B28="",K28&gt;0),"",H28-B28)</f>
        <v>12</v>
      </c>
    </row>
    <row r="29" customFormat="false" ht="15" hidden="false" customHeight="false" outlineLevel="0" collapsed="false">
      <c r="A29" s="51" t="n">
        <v>1024</v>
      </c>
      <c r="B29" s="65" t="n">
        <v>46173</v>
      </c>
      <c r="C29" s="51" t="s">
        <v>210</v>
      </c>
      <c r="D29" s="51" t="s">
        <v>308</v>
      </c>
      <c r="E29" s="76" t="n">
        <v>2936.25</v>
      </c>
      <c r="F29" s="66" t="n">
        <f aca="false">IF(C29="","",IFERROR(1/(1/INDEX(Clients!$H$6:$H$25,MATCH(C29,Clients!$B$6:$B$25,0))),Settings!$C$10))</f>
        <v>30</v>
      </c>
      <c r="G29" s="77" t="n">
        <f aca="false">IF(OR(B29="",F29=""),"",B29+F29)</f>
        <v>46203</v>
      </c>
      <c r="H29" s="65" t="n">
        <v>46207</v>
      </c>
      <c r="I29" s="76" t="n">
        <v>2936.25</v>
      </c>
      <c r="J29" s="51" t="s">
        <v>55</v>
      </c>
      <c r="K29" s="73" t="n">
        <f aca="false">IF(E29="","",E29-N(I29))</f>
        <v>0</v>
      </c>
      <c r="L29" s="78" t="str">
        <f aca="true">IF(E29="","",IF(K29&lt;=0,"Paid",IF(AND(G29&lt;&gt;"",TODAY()&gt;G29),"Overdue",IF(N(I29)&gt;0,"Partial","Open"))))</f>
        <v>Paid</v>
      </c>
      <c r="M29" s="66" t="n">
        <f aca="true">IF(OR(E29="",G29=""),"",IF(K29&lt;=0,IF(H29="","",MAX(0,H29-G29)),MAX(0,TODAY()-G29)))</f>
        <v>4</v>
      </c>
      <c r="N29" s="78" t="str">
        <f aca="true">IF(OR(E29="",G29=""),"",IF(K29&lt;=0,"",IF(TODAY()&lt;=G29,"Not due yet",IF(TODAY()-G29&lt;=30,"1-30 days late",IF(TODAY()-G29&lt;=60,"31-60 days late",IF(TODAY()-G29&lt;=90,"61-90 days late","90+ days late"))))))</f>
        <v/>
      </c>
      <c r="O29" s="66" t="n">
        <f aca="false">IF(OR(H29="",B29="",K29&gt;0),"",H29-B29)</f>
        <v>34</v>
      </c>
    </row>
    <row r="30" customFormat="false" ht="15" hidden="false" customHeight="false" outlineLevel="0" collapsed="false">
      <c r="A30" s="51" t="n">
        <v>1025</v>
      </c>
      <c r="B30" s="65" t="n">
        <v>46173</v>
      </c>
      <c r="C30" s="51" t="s">
        <v>207</v>
      </c>
      <c r="D30" s="51" t="s">
        <v>308</v>
      </c>
      <c r="E30" s="76" t="n">
        <v>3312.5</v>
      </c>
      <c r="F30" s="66" t="n">
        <f aca="false">IF(C30="","",IFERROR(1/(1/INDEX(Clients!$H$6:$H$25,MATCH(C30,Clients!$B$6:$B$25,0))),Settings!$C$10))</f>
        <v>30</v>
      </c>
      <c r="G30" s="77" t="n">
        <f aca="false">IF(OR(B30="",F30=""),"",B30+F30)</f>
        <v>46203</v>
      </c>
      <c r="H30" s="65" t="n">
        <v>46199</v>
      </c>
      <c r="I30" s="76" t="n">
        <v>3312.5</v>
      </c>
      <c r="J30" s="51" t="s">
        <v>122</v>
      </c>
      <c r="K30" s="73" t="n">
        <f aca="false">IF(E30="","",E30-N(I30))</f>
        <v>0</v>
      </c>
      <c r="L30" s="78" t="str">
        <f aca="true">IF(E30="","",IF(K30&lt;=0,"Paid",IF(AND(G30&lt;&gt;"",TODAY()&gt;G30),"Overdue",IF(N(I30)&gt;0,"Partial","Open"))))</f>
        <v>Paid</v>
      </c>
      <c r="M30" s="66" t="n">
        <f aca="true">IF(OR(E30="",G30=""),"",IF(K30&lt;=0,IF(H30="","",MAX(0,H30-G30)),MAX(0,TODAY()-G30)))</f>
        <v>0</v>
      </c>
      <c r="N30" s="78" t="str">
        <f aca="true">IF(OR(E30="",G30=""),"",IF(K30&lt;=0,"",IF(TODAY()&lt;=G30,"Not due yet",IF(TODAY()-G30&lt;=30,"1-30 days late",IF(TODAY()-G30&lt;=60,"31-60 days late",IF(TODAY()-G30&lt;=90,"61-90 days late","90+ days late"))))))</f>
        <v/>
      </c>
      <c r="O30" s="66" t="n">
        <f aca="false">IF(OR(H30="",B30="",K30&gt;0),"",H30-B30)</f>
        <v>26</v>
      </c>
    </row>
    <row r="31" customFormat="false" ht="15" hidden="false" customHeight="false" outlineLevel="0" collapsed="false">
      <c r="A31" s="51" t="n">
        <v>1026</v>
      </c>
      <c r="B31" s="65" t="n">
        <v>46173</v>
      </c>
      <c r="C31" s="51" t="s">
        <v>216</v>
      </c>
      <c r="D31" s="51" t="s">
        <v>308</v>
      </c>
      <c r="E31" s="76" t="n">
        <v>850</v>
      </c>
      <c r="F31" s="66" t="n">
        <f aca="false">IF(C31="","",IFERROR(1/(1/INDEX(Clients!$H$6:$H$25,MATCH(C31,Clients!$B$6:$B$25,0))),Settings!$C$10))</f>
        <v>15</v>
      </c>
      <c r="G31" s="77" t="n">
        <f aca="false">IF(OR(B31="",F31=""),"",B31+F31)</f>
        <v>46188</v>
      </c>
      <c r="H31" s="65" t="n">
        <v>46204</v>
      </c>
      <c r="I31" s="76" t="n">
        <v>850</v>
      </c>
      <c r="J31" s="51" t="s">
        <v>144</v>
      </c>
      <c r="K31" s="73" t="n">
        <f aca="false">IF(E31="","",E31-N(I31))</f>
        <v>0</v>
      </c>
      <c r="L31" s="78" t="str">
        <f aca="true">IF(E31="","",IF(K31&lt;=0,"Paid",IF(AND(G31&lt;&gt;"",TODAY()&gt;G31),"Overdue",IF(N(I31)&gt;0,"Partial","Open"))))</f>
        <v>Paid</v>
      </c>
      <c r="M31" s="66" t="n">
        <f aca="true">IF(OR(E31="",G31=""),"",IF(K31&lt;=0,IF(H31="","",MAX(0,H31-G31)),MAX(0,TODAY()-G31)))</f>
        <v>16</v>
      </c>
      <c r="N31" s="78" t="str">
        <f aca="true">IF(OR(E31="",G31=""),"",IF(K31&lt;=0,"",IF(TODAY()&lt;=G31,"Not due yet",IF(TODAY()-G31&lt;=30,"1-30 days late",IF(TODAY()-G31&lt;=60,"31-60 days late",IF(TODAY()-G31&lt;=90,"61-90 days late","90+ days late"))))))</f>
        <v/>
      </c>
      <c r="O31" s="66" t="n">
        <f aca="false">IF(OR(H31="",B31="",K31&gt;0),"",H31-B31)</f>
        <v>31</v>
      </c>
    </row>
    <row r="32" customFormat="false" ht="15" hidden="false" customHeight="false" outlineLevel="0" collapsed="false">
      <c r="A32" s="51" t="n">
        <v>1027</v>
      </c>
      <c r="B32" s="65" t="n">
        <v>46174</v>
      </c>
      <c r="C32" s="51" t="s">
        <v>213</v>
      </c>
      <c r="D32" s="51" t="s">
        <v>309</v>
      </c>
      <c r="E32" s="76" t="n">
        <v>2200</v>
      </c>
      <c r="F32" s="66" t="n">
        <f aca="false">IF(C32="","",IFERROR(1/(1/INDEX(Clients!$H$6:$H$25,MATCH(C32,Clients!$B$6:$B$25,0))),Settings!$C$10))</f>
        <v>15</v>
      </c>
      <c r="G32" s="77" t="n">
        <f aca="false">IF(OR(B32="",F32=""),"",B32+F32)</f>
        <v>46189</v>
      </c>
      <c r="H32" s="65" t="n">
        <v>46180</v>
      </c>
      <c r="I32" s="76" t="n">
        <v>2200</v>
      </c>
      <c r="J32" s="51" t="s">
        <v>113</v>
      </c>
      <c r="K32" s="73" t="n">
        <f aca="false">IF(E32="","",E32-N(I32))</f>
        <v>0</v>
      </c>
      <c r="L32" s="78" t="str">
        <f aca="true">IF(E32="","",IF(K32&lt;=0,"Paid",IF(AND(G32&lt;&gt;"",TODAY()&gt;G32),"Overdue",IF(N(I32)&gt;0,"Partial","Open"))))</f>
        <v>Paid</v>
      </c>
      <c r="M32" s="66" t="n">
        <f aca="true">IF(OR(E32="",G32=""),"",IF(K32&lt;=0,IF(H32="","",MAX(0,H32-G32)),MAX(0,TODAY()-G32)))</f>
        <v>0</v>
      </c>
      <c r="N32" s="78" t="str">
        <f aca="true">IF(OR(E32="",G32=""),"",IF(K32&lt;=0,"",IF(TODAY()&lt;=G32,"Not due yet",IF(TODAY()-G32&lt;=30,"1-30 days late",IF(TODAY()-G32&lt;=60,"31-60 days late",IF(TODAY()-G32&lt;=90,"61-90 days late","90+ days late"))))))</f>
        <v/>
      </c>
      <c r="O32" s="66" t="n">
        <f aca="false">IF(OR(H32="",B32="",K32&gt;0),"",H32-B32)</f>
        <v>6</v>
      </c>
    </row>
    <row r="33" customFormat="false" ht="15" hidden="false" customHeight="false" outlineLevel="0" collapsed="false">
      <c r="A33" s="51" t="n">
        <v>1028</v>
      </c>
      <c r="B33" s="65" t="n">
        <v>46174</v>
      </c>
      <c r="C33" s="51" t="s">
        <v>204</v>
      </c>
      <c r="D33" s="51" t="s">
        <v>309</v>
      </c>
      <c r="E33" s="76" t="n">
        <v>3500</v>
      </c>
      <c r="F33" s="66" t="n">
        <f aca="false">IF(C33="","",IFERROR(1/(1/INDEX(Clients!$H$6:$H$25,MATCH(C33,Clients!$B$6:$B$25,0))),Settings!$C$10))</f>
        <v>15</v>
      </c>
      <c r="G33" s="77" t="n">
        <f aca="false">IF(OR(B33="",F33=""),"",B33+F33)</f>
        <v>46189</v>
      </c>
      <c r="H33" s="65" t="n">
        <v>46183</v>
      </c>
      <c r="I33" s="76" t="n">
        <v>3500</v>
      </c>
      <c r="J33" s="51" t="s">
        <v>113</v>
      </c>
      <c r="K33" s="73" t="n">
        <f aca="false">IF(E33="","",E33-N(I33))</f>
        <v>0</v>
      </c>
      <c r="L33" s="78" t="str">
        <f aca="true">IF(E33="","",IF(K33&lt;=0,"Paid",IF(AND(G33&lt;&gt;"",TODAY()&gt;G33),"Overdue",IF(N(I33)&gt;0,"Partial","Open"))))</f>
        <v>Paid</v>
      </c>
      <c r="M33" s="66" t="n">
        <f aca="true">IF(OR(E33="",G33=""),"",IF(K33&lt;=0,IF(H33="","",MAX(0,H33-G33)),MAX(0,TODAY()-G33)))</f>
        <v>0</v>
      </c>
      <c r="N33" s="78" t="str">
        <f aca="true">IF(OR(E33="",G33=""),"",IF(K33&lt;=0,"",IF(TODAY()&lt;=G33,"Not due yet",IF(TODAY()-G33&lt;=30,"1-30 days late",IF(TODAY()-G33&lt;=60,"31-60 days late",IF(TODAY()-G33&lt;=90,"61-90 days late","90+ days late"))))))</f>
        <v/>
      </c>
      <c r="O33" s="66" t="n">
        <f aca="false">IF(OR(H33="",B33="",K33&gt;0),"",H33-B33)</f>
        <v>9</v>
      </c>
    </row>
    <row r="34" customFormat="false" ht="15" hidden="false" customHeight="false" outlineLevel="0" collapsed="false">
      <c r="A34" s="51" t="n">
        <v>1029</v>
      </c>
      <c r="B34" s="65" t="n">
        <v>46203</v>
      </c>
      <c r="C34" s="51" t="s">
        <v>222</v>
      </c>
      <c r="D34" s="51" t="s">
        <v>310</v>
      </c>
      <c r="E34" s="76" t="n">
        <v>1840</v>
      </c>
      <c r="F34" s="66" t="n">
        <f aca="false">IF(C34="","",IFERROR(1/(1/INDEX(Clients!$H$6:$H$25,MATCH(C34,Clients!$B$6:$B$25,0))),Settings!$C$10))</f>
        <v>30</v>
      </c>
      <c r="G34" s="77" t="n">
        <f aca="false">IF(OR(B34="",F34=""),"",B34+F34)</f>
        <v>46233</v>
      </c>
      <c r="H34" s="65" t="n">
        <v>46230</v>
      </c>
      <c r="I34" s="76" t="n">
        <v>1840</v>
      </c>
      <c r="J34" s="51" t="s">
        <v>113</v>
      </c>
      <c r="K34" s="73" t="n">
        <f aca="false">IF(E34="","",E34-N(I34))</f>
        <v>0</v>
      </c>
      <c r="L34" s="78" t="str">
        <f aca="true">IF(E34="","",IF(K34&lt;=0,"Paid",IF(AND(G34&lt;&gt;"",TODAY()&gt;G34),"Overdue",IF(N(I34)&gt;0,"Partial","Open"))))</f>
        <v>Paid</v>
      </c>
      <c r="M34" s="66" t="n">
        <f aca="true">IF(OR(E34="",G34=""),"",IF(K34&lt;=0,IF(H34="","",MAX(0,H34-G34)),MAX(0,TODAY()-G34)))</f>
        <v>0</v>
      </c>
      <c r="N34" s="78" t="str">
        <f aca="true">IF(OR(E34="",G34=""),"",IF(K34&lt;=0,"",IF(TODAY()&lt;=G34,"Not due yet",IF(TODAY()-G34&lt;=30,"1-30 days late",IF(TODAY()-G34&lt;=60,"31-60 days late",IF(TODAY()-G34&lt;=90,"61-90 days late","90+ days late"))))))</f>
        <v/>
      </c>
      <c r="O34" s="66" t="n">
        <f aca="false">IF(OR(H34="",B34="",K34&gt;0),"",H34-B34)</f>
        <v>27</v>
      </c>
    </row>
    <row r="35" customFormat="false" ht="15" hidden="false" customHeight="false" outlineLevel="0" collapsed="false">
      <c r="A35" s="51" t="n">
        <v>1030</v>
      </c>
      <c r="B35" s="65" t="n">
        <v>46203</v>
      </c>
      <c r="C35" s="51" t="s">
        <v>210</v>
      </c>
      <c r="D35" s="51" t="s">
        <v>310</v>
      </c>
      <c r="E35" s="76" t="n">
        <v>2396.25</v>
      </c>
      <c r="F35" s="66" t="n">
        <f aca="false">IF(C35="","",IFERROR(1/(1/INDEX(Clients!$H$6:$H$25,MATCH(C35,Clients!$B$6:$B$25,0))),Settings!$C$10))</f>
        <v>30</v>
      </c>
      <c r="G35" s="77" t="n">
        <f aca="false">IF(OR(B35="",F35=""),"",B35+F35)</f>
        <v>46233</v>
      </c>
      <c r="H35" s="65" t="n">
        <v>46240</v>
      </c>
      <c r="I35" s="76" t="n">
        <v>2396.25</v>
      </c>
      <c r="J35" s="51" t="s">
        <v>55</v>
      </c>
      <c r="K35" s="73" t="n">
        <f aca="false">IF(E35="","",E35-N(I35))</f>
        <v>0</v>
      </c>
      <c r="L35" s="78" t="str">
        <f aca="true">IF(E35="","",IF(K35&lt;=0,"Paid",IF(AND(G35&lt;&gt;"",TODAY()&gt;G35),"Overdue",IF(N(I35)&gt;0,"Partial","Open"))))</f>
        <v>Paid</v>
      </c>
      <c r="M35" s="66" t="n">
        <f aca="true">IF(OR(E35="",G35=""),"",IF(K35&lt;=0,IF(H35="","",MAX(0,H35-G35)),MAX(0,TODAY()-G35)))</f>
        <v>7</v>
      </c>
      <c r="N35" s="78" t="str">
        <f aca="true">IF(OR(E35="",G35=""),"",IF(K35&lt;=0,"",IF(TODAY()&lt;=G35,"Not due yet",IF(TODAY()-G35&lt;=30,"1-30 days late",IF(TODAY()-G35&lt;=60,"31-60 days late",IF(TODAY()-G35&lt;=90,"61-90 days late","90+ days late"))))))</f>
        <v/>
      </c>
      <c r="O35" s="66" t="n">
        <f aca="false">IF(OR(H35="",B35="",K35&gt;0),"",H35-B35)</f>
        <v>37</v>
      </c>
    </row>
    <row r="36" customFormat="false" ht="15" hidden="false" customHeight="false" outlineLevel="0" collapsed="false">
      <c r="A36" s="51" t="n">
        <v>1031</v>
      </c>
      <c r="B36" s="65" t="n">
        <v>46203</v>
      </c>
      <c r="C36" s="51" t="s">
        <v>207</v>
      </c>
      <c r="D36" s="51" t="s">
        <v>310</v>
      </c>
      <c r="E36" s="76" t="n">
        <v>2031.25</v>
      </c>
      <c r="F36" s="66" t="n">
        <f aca="false">IF(C36="","",IFERROR(1/(1/INDEX(Clients!$H$6:$H$25,MATCH(C36,Clients!$B$6:$B$25,0))),Settings!$C$10))</f>
        <v>30</v>
      </c>
      <c r="G36" s="77" t="n">
        <f aca="false">IF(OR(B36="",F36=""),"",B36+F36)</f>
        <v>46233</v>
      </c>
      <c r="H36" s="65" t="n">
        <v>46231</v>
      </c>
      <c r="I36" s="76" t="n">
        <v>2031.25</v>
      </c>
      <c r="J36" s="51" t="s">
        <v>122</v>
      </c>
      <c r="K36" s="73" t="n">
        <f aca="false">IF(E36="","",E36-N(I36))</f>
        <v>0</v>
      </c>
      <c r="L36" s="78" t="str">
        <f aca="true">IF(E36="","",IF(K36&lt;=0,"Paid",IF(AND(G36&lt;&gt;"",TODAY()&gt;G36),"Overdue",IF(N(I36)&gt;0,"Partial","Open"))))</f>
        <v>Paid</v>
      </c>
      <c r="M36" s="66" t="n">
        <f aca="true">IF(OR(E36="",G36=""),"",IF(K36&lt;=0,IF(H36="","",MAX(0,H36-G36)),MAX(0,TODAY()-G36)))</f>
        <v>0</v>
      </c>
      <c r="N36" s="78" t="str">
        <f aca="true">IF(OR(E36="",G36=""),"",IF(K36&lt;=0,"",IF(TODAY()&lt;=G36,"Not due yet",IF(TODAY()-G36&lt;=30,"1-30 days late",IF(TODAY()-G36&lt;=60,"31-60 days late",IF(TODAY()-G36&lt;=90,"61-90 days late","90+ days late"))))))</f>
        <v/>
      </c>
      <c r="O36" s="66" t="n">
        <f aca="false">IF(OR(H36="",B36="",K36&gt;0),"",H36-B36)</f>
        <v>28</v>
      </c>
    </row>
    <row r="37" customFormat="false" ht="15" hidden="false" customHeight="false" outlineLevel="0" collapsed="false">
      <c r="A37" s="51" t="n">
        <v>1032</v>
      </c>
      <c r="B37" s="65" t="n">
        <v>46203</v>
      </c>
      <c r="C37" s="51" t="s">
        <v>216</v>
      </c>
      <c r="D37" s="51" t="s">
        <v>310</v>
      </c>
      <c r="E37" s="76" t="n">
        <v>775</v>
      </c>
      <c r="F37" s="66" t="n">
        <f aca="false">IF(C37="","",IFERROR(1/(1/INDEX(Clients!$H$6:$H$25,MATCH(C37,Clients!$B$6:$B$25,0))),Settings!$C$10))</f>
        <v>15</v>
      </c>
      <c r="G37" s="77" t="n">
        <f aca="false">IF(OR(B37="",F37=""),"",B37+F37)</f>
        <v>46218</v>
      </c>
      <c r="H37" s="65" t="n">
        <v>46234</v>
      </c>
      <c r="I37" s="76" t="n">
        <v>775</v>
      </c>
      <c r="J37" s="51" t="s">
        <v>144</v>
      </c>
      <c r="K37" s="73" t="n">
        <f aca="false">IF(E37="","",E37-N(I37))</f>
        <v>0</v>
      </c>
      <c r="L37" s="78" t="str">
        <f aca="true">IF(E37="","",IF(K37&lt;=0,"Paid",IF(AND(G37&lt;&gt;"",TODAY()&gt;G37),"Overdue",IF(N(I37)&gt;0,"Partial","Open"))))</f>
        <v>Paid</v>
      </c>
      <c r="M37" s="66" t="n">
        <f aca="true">IF(OR(E37="",G37=""),"",IF(K37&lt;=0,IF(H37="","",MAX(0,H37-G37)),MAX(0,TODAY()-G37)))</f>
        <v>16</v>
      </c>
      <c r="N37" s="78" t="str">
        <f aca="true">IF(OR(E37="",G37=""),"",IF(K37&lt;=0,"",IF(TODAY()&lt;=G37,"Not due yet",IF(TODAY()-G37&lt;=30,"1-30 days late",IF(TODAY()-G37&lt;=60,"31-60 days late",IF(TODAY()-G37&lt;=90,"61-90 days late","90+ days late"))))))</f>
        <v/>
      </c>
      <c r="O37" s="66" t="n">
        <f aca="false">IF(OR(H37="",B37="",K37&gt;0),"",H37-B37)</f>
        <v>31</v>
      </c>
    </row>
    <row r="38" customFormat="false" ht="15" hidden="false" customHeight="false" outlineLevel="0" collapsed="false">
      <c r="A38" s="51" t="n">
        <v>1033</v>
      </c>
      <c r="B38" s="65" t="n">
        <v>46204</v>
      </c>
      <c r="C38" s="51" t="s">
        <v>213</v>
      </c>
      <c r="D38" s="51" t="s">
        <v>311</v>
      </c>
      <c r="E38" s="76" t="n">
        <v>2200</v>
      </c>
      <c r="F38" s="66" t="n">
        <f aca="false">IF(C38="","",IFERROR(1/(1/INDEX(Clients!$H$6:$H$25,MATCH(C38,Clients!$B$6:$B$25,0))),Settings!$C$10))</f>
        <v>15</v>
      </c>
      <c r="G38" s="77" t="n">
        <f aca="false">IF(OR(B38="",F38=""),"",B38+F38)</f>
        <v>46219</v>
      </c>
      <c r="H38" s="65" t="n">
        <v>46215</v>
      </c>
      <c r="I38" s="76" t="n">
        <v>2200</v>
      </c>
      <c r="J38" s="51" t="s">
        <v>113</v>
      </c>
      <c r="K38" s="73" t="n">
        <f aca="false">IF(E38="","",E38-N(I38))</f>
        <v>0</v>
      </c>
      <c r="L38" s="78" t="str">
        <f aca="true">IF(E38="","",IF(K38&lt;=0,"Paid",IF(AND(G38&lt;&gt;"",TODAY()&gt;G38),"Overdue",IF(N(I38)&gt;0,"Partial","Open"))))</f>
        <v>Paid</v>
      </c>
      <c r="M38" s="66" t="n">
        <f aca="true">IF(OR(E38="",G38=""),"",IF(K38&lt;=0,IF(H38="","",MAX(0,H38-G38)),MAX(0,TODAY()-G38)))</f>
        <v>0</v>
      </c>
      <c r="N38" s="78" t="str">
        <f aca="true">IF(OR(E38="",G38=""),"",IF(K38&lt;=0,"",IF(TODAY()&lt;=G38,"Not due yet",IF(TODAY()-G38&lt;=30,"1-30 days late",IF(TODAY()-G38&lt;=60,"31-60 days late",IF(TODAY()-G38&lt;=90,"61-90 days late","90+ days late"))))))</f>
        <v/>
      </c>
      <c r="O38" s="66" t="n">
        <f aca="false">IF(OR(H38="",B38="",K38&gt;0),"",H38-B38)</f>
        <v>11</v>
      </c>
    </row>
    <row r="39" customFormat="false" ht="15" hidden="false" customHeight="false" outlineLevel="0" collapsed="false">
      <c r="A39" s="51" t="n">
        <v>1034</v>
      </c>
      <c r="B39" s="65" t="n">
        <v>46204</v>
      </c>
      <c r="C39" s="51" t="s">
        <v>204</v>
      </c>
      <c r="D39" s="51" t="s">
        <v>311</v>
      </c>
      <c r="E39" s="76" t="n">
        <v>3500</v>
      </c>
      <c r="F39" s="66" t="n">
        <f aca="false">IF(C39="","",IFERROR(1/(1/INDEX(Clients!$H$6:$H$25,MATCH(C39,Clients!$B$6:$B$25,0))),Settings!$C$10))</f>
        <v>15</v>
      </c>
      <c r="G39" s="77" t="n">
        <f aca="false">IF(OR(B39="",F39=""),"",B39+F39)</f>
        <v>46219</v>
      </c>
      <c r="H39" s="65" t="n">
        <v>46213</v>
      </c>
      <c r="I39" s="76" t="n">
        <v>3500</v>
      </c>
      <c r="J39" s="51" t="s">
        <v>113</v>
      </c>
      <c r="K39" s="73" t="n">
        <f aca="false">IF(E39="","",E39-N(I39))</f>
        <v>0</v>
      </c>
      <c r="L39" s="78" t="str">
        <f aca="true">IF(E39="","",IF(K39&lt;=0,"Paid",IF(AND(G39&lt;&gt;"",TODAY()&gt;G39),"Overdue",IF(N(I39)&gt;0,"Partial","Open"))))</f>
        <v>Paid</v>
      </c>
      <c r="M39" s="66" t="n">
        <f aca="true">IF(OR(E39="",G39=""),"",IF(K39&lt;=0,IF(H39="","",MAX(0,H39-G39)),MAX(0,TODAY()-G39)))</f>
        <v>0</v>
      </c>
      <c r="N39" s="78" t="str">
        <f aca="true">IF(OR(E39="",G39=""),"",IF(K39&lt;=0,"",IF(TODAY()&lt;=G39,"Not due yet",IF(TODAY()-G39&lt;=30,"1-30 days late",IF(TODAY()-G39&lt;=60,"31-60 days late",IF(TODAY()-G39&lt;=90,"61-90 days late","90+ days late"))))))</f>
        <v/>
      </c>
      <c r="O39" s="66" t="n">
        <f aca="false">IF(OR(H39="",B39="",K39&gt;0),"",H39-B39)</f>
        <v>9</v>
      </c>
    </row>
    <row r="40" customFormat="false" ht="15" hidden="false" customHeight="false" outlineLevel="0" collapsed="false">
      <c r="A40" s="51" t="n">
        <v>1035</v>
      </c>
      <c r="B40" s="65" t="n">
        <v>46234</v>
      </c>
      <c r="C40" s="51" t="s">
        <v>222</v>
      </c>
      <c r="D40" s="51" t="s">
        <v>312</v>
      </c>
      <c r="E40" s="76" t="n">
        <v>2480</v>
      </c>
      <c r="F40" s="66" t="n">
        <f aca="false">IF(C40="","",IFERROR(1/(1/INDEX(Clients!$H$6:$H$25,MATCH(C40,Clients!$B$6:$B$25,0))),Settings!$C$10))</f>
        <v>30</v>
      </c>
      <c r="G40" s="77" t="n">
        <f aca="false">IF(OR(B40="",F40=""),"",B40+F40)</f>
        <v>46264</v>
      </c>
      <c r="H40" s="65" t="n">
        <v>46260</v>
      </c>
      <c r="I40" s="76" t="n">
        <v>2480</v>
      </c>
      <c r="J40" s="51" t="s">
        <v>113</v>
      </c>
      <c r="K40" s="73" t="n">
        <f aca="false">IF(E40="","",E40-N(I40))</f>
        <v>0</v>
      </c>
      <c r="L40" s="78" t="str">
        <f aca="true">IF(E40="","",IF(K40&lt;=0,"Paid",IF(AND(G40&lt;&gt;"",TODAY()&gt;G40),"Overdue",IF(N(I40)&gt;0,"Partial","Open"))))</f>
        <v>Paid</v>
      </c>
      <c r="M40" s="66" t="n">
        <f aca="true">IF(OR(E40="",G40=""),"",IF(K40&lt;=0,IF(H40="","",MAX(0,H40-G40)),MAX(0,TODAY()-G40)))</f>
        <v>0</v>
      </c>
      <c r="N40" s="78" t="str">
        <f aca="true">IF(OR(E40="",G40=""),"",IF(K40&lt;=0,"",IF(TODAY()&lt;=G40,"Not due yet",IF(TODAY()-G40&lt;=30,"1-30 days late",IF(TODAY()-G40&lt;=60,"31-60 days late",IF(TODAY()-G40&lt;=90,"61-90 days late","90+ days late"))))))</f>
        <v/>
      </c>
      <c r="O40" s="66" t="n">
        <f aca="false">IF(OR(H40="",B40="",K40&gt;0),"",H40-B40)</f>
        <v>26</v>
      </c>
    </row>
    <row r="41" customFormat="false" ht="15" hidden="false" customHeight="false" outlineLevel="0" collapsed="false">
      <c r="A41" s="51" t="n">
        <v>1036</v>
      </c>
      <c r="B41" s="65" t="n">
        <v>46234</v>
      </c>
      <c r="C41" s="51" t="s">
        <v>210</v>
      </c>
      <c r="D41" s="51" t="s">
        <v>312</v>
      </c>
      <c r="E41" s="76" t="n">
        <v>2193.75</v>
      </c>
      <c r="F41" s="66" t="n">
        <f aca="false">IF(C41="","",IFERROR(1/(1/INDEX(Clients!$H$6:$H$25,MATCH(C41,Clients!$B$6:$B$25,0))),Settings!$C$10))</f>
        <v>30</v>
      </c>
      <c r="G41" s="77" t="n">
        <f aca="false">IF(OR(B41="",F41=""),"",B41+F41)</f>
        <v>46264</v>
      </c>
      <c r="H41" s="65" t="n">
        <v>46269</v>
      </c>
      <c r="I41" s="76" t="n">
        <v>2193.75</v>
      </c>
      <c r="J41" s="51" t="s">
        <v>55</v>
      </c>
      <c r="K41" s="73" t="n">
        <f aca="false">IF(E41="","",E41-N(I41))</f>
        <v>0</v>
      </c>
      <c r="L41" s="78" t="str">
        <f aca="true">IF(E41="","",IF(K41&lt;=0,"Paid",IF(AND(G41&lt;&gt;"",TODAY()&gt;G41),"Overdue",IF(N(I41)&gt;0,"Partial","Open"))))</f>
        <v>Paid</v>
      </c>
      <c r="M41" s="66" t="n">
        <f aca="true">IF(OR(E41="",G41=""),"",IF(K41&lt;=0,IF(H41="","",MAX(0,H41-G41)),MAX(0,TODAY()-G41)))</f>
        <v>5</v>
      </c>
      <c r="N41" s="78" t="str">
        <f aca="true">IF(OR(E41="",G41=""),"",IF(K41&lt;=0,"",IF(TODAY()&lt;=G41,"Not due yet",IF(TODAY()-G41&lt;=30,"1-30 days late",IF(TODAY()-G41&lt;=60,"31-60 days late",IF(TODAY()-G41&lt;=90,"61-90 days late","90+ days late"))))))</f>
        <v/>
      </c>
      <c r="O41" s="66" t="n">
        <f aca="false">IF(OR(H41="",B41="",K41&gt;0),"",H41-B41)</f>
        <v>35</v>
      </c>
    </row>
    <row r="42" customFormat="false" ht="15" hidden="false" customHeight="false" outlineLevel="0" collapsed="false">
      <c r="A42" s="51" t="n">
        <v>1037</v>
      </c>
      <c r="B42" s="65" t="n">
        <v>46234</v>
      </c>
      <c r="C42" s="51" t="s">
        <v>207</v>
      </c>
      <c r="D42" s="51" t="s">
        <v>312</v>
      </c>
      <c r="E42" s="76" t="n">
        <v>3187.5</v>
      </c>
      <c r="F42" s="66" t="n">
        <f aca="false">IF(C42="","",IFERROR(1/(1/INDEX(Clients!$H$6:$H$25,MATCH(C42,Clients!$B$6:$B$25,0))),Settings!$C$10))</f>
        <v>30</v>
      </c>
      <c r="G42" s="77" t="n">
        <f aca="false">IF(OR(B42="",F42=""),"",B42+F42)</f>
        <v>46264</v>
      </c>
      <c r="H42" s="65" t="n">
        <v>46261</v>
      </c>
      <c r="I42" s="76" t="n">
        <v>3187.5</v>
      </c>
      <c r="J42" s="51" t="s">
        <v>122</v>
      </c>
      <c r="K42" s="73" t="n">
        <f aca="false">IF(E42="","",E42-N(I42))</f>
        <v>0</v>
      </c>
      <c r="L42" s="78" t="str">
        <f aca="true">IF(E42="","",IF(K42&lt;=0,"Paid",IF(AND(G42&lt;&gt;"",TODAY()&gt;G42),"Overdue",IF(N(I42)&gt;0,"Partial","Open"))))</f>
        <v>Paid</v>
      </c>
      <c r="M42" s="66" t="n">
        <f aca="true">IF(OR(E42="",G42=""),"",IF(K42&lt;=0,IF(H42="","",MAX(0,H42-G42)),MAX(0,TODAY()-G42)))</f>
        <v>0</v>
      </c>
      <c r="N42" s="78" t="str">
        <f aca="true">IF(OR(E42="",G42=""),"",IF(K42&lt;=0,"",IF(TODAY()&lt;=G42,"Not due yet",IF(TODAY()-G42&lt;=30,"1-30 days late",IF(TODAY()-G42&lt;=60,"31-60 days late",IF(TODAY()-G42&lt;=90,"61-90 days late","90+ days late"))))))</f>
        <v/>
      </c>
      <c r="O42" s="66" t="n">
        <f aca="false">IF(OR(H42="",B42="",K42&gt;0),"",H42-B42)</f>
        <v>27</v>
      </c>
    </row>
    <row r="43" customFormat="false" ht="15" hidden="false" customHeight="false" outlineLevel="0" collapsed="false">
      <c r="A43" s="51" t="n">
        <v>1038</v>
      </c>
      <c r="B43" s="65" t="n">
        <v>46234</v>
      </c>
      <c r="C43" s="51" t="s">
        <v>216</v>
      </c>
      <c r="D43" s="51" t="s">
        <v>312</v>
      </c>
      <c r="E43" s="76" t="n">
        <v>1000</v>
      </c>
      <c r="F43" s="66" t="n">
        <f aca="false">IF(C43="","",IFERROR(1/(1/INDEX(Clients!$H$6:$H$25,MATCH(C43,Clients!$B$6:$B$25,0))),Settings!$C$10))</f>
        <v>15</v>
      </c>
      <c r="G43" s="77" t="n">
        <f aca="false">IF(OR(B43="",F43=""),"",B43+F43)</f>
        <v>46249</v>
      </c>
      <c r="H43" s="65" t="n">
        <v>46283</v>
      </c>
      <c r="I43" s="76" t="n">
        <v>500</v>
      </c>
      <c r="J43" s="51" t="s">
        <v>144</v>
      </c>
      <c r="K43" s="73" t="n">
        <f aca="false">IF(E43="","",E43-N(I43))</f>
        <v>500</v>
      </c>
      <c r="L43" s="78" t="str">
        <f aca="true">IF(E43="","",IF(K43&lt;=0,"Paid",IF(AND(G43&lt;&gt;"",TODAY()&gt;G43),"Overdue",IF(N(I43)&gt;0,"Partial","Open"))))</f>
        <v>Overdue</v>
      </c>
      <c r="M43" s="66" t="n">
        <f aca="true">IF(OR(E43="",G43=""),"",IF(K43&lt;=0,IF(H43="","",MAX(0,H43-G43)),MAX(0,TODAY()-G43)))</f>
        <v>60</v>
      </c>
      <c r="N43" s="78" t="str">
        <f aca="true">IF(OR(E43="",G43=""),"",IF(K43&lt;=0,"",IF(TODAY()&lt;=G43,"Not due yet",IF(TODAY()-G43&lt;=30,"1-30 days late",IF(TODAY()-G43&lt;=60,"31-60 days late",IF(TODAY()-G43&lt;=90,"61-90 days late","90+ days late"))))))</f>
        <v>31-60 days late</v>
      </c>
      <c r="O43" s="66" t="str">
        <f aca="false">IF(OR(H43="",B43="",K43&gt;0),"",H43-B43)</f>
        <v/>
      </c>
    </row>
    <row r="44" customFormat="false" ht="15" hidden="false" customHeight="false" outlineLevel="0" collapsed="false">
      <c r="A44" s="51" t="n">
        <v>1039</v>
      </c>
      <c r="B44" s="65" t="n">
        <v>46235</v>
      </c>
      <c r="C44" s="51" t="s">
        <v>213</v>
      </c>
      <c r="D44" s="51" t="s">
        <v>313</v>
      </c>
      <c r="E44" s="76" t="n">
        <v>2200</v>
      </c>
      <c r="F44" s="66" t="n">
        <f aca="false">IF(C44="","",IFERROR(1/(1/INDEX(Clients!$H$6:$H$25,MATCH(C44,Clients!$B$6:$B$25,0))),Settings!$C$10))</f>
        <v>15</v>
      </c>
      <c r="G44" s="77" t="n">
        <f aca="false">IF(OR(B44="",F44=""),"",B44+F44)</f>
        <v>46250</v>
      </c>
      <c r="H44" s="65" t="n">
        <v>46245</v>
      </c>
      <c r="I44" s="76" t="n">
        <v>2200</v>
      </c>
      <c r="J44" s="51" t="s">
        <v>113</v>
      </c>
      <c r="K44" s="73" t="n">
        <f aca="false">IF(E44="","",E44-N(I44))</f>
        <v>0</v>
      </c>
      <c r="L44" s="78" t="str">
        <f aca="true">IF(E44="","",IF(K44&lt;=0,"Paid",IF(AND(G44&lt;&gt;"",TODAY()&gt;G44),"Overdue",IF(N(I44)&gt;0,"Partial","Open"))))</f>
        <v>Paid</v>
      </c>
      <c r="M44" s="66" t="n">
        <f aca="true">IF(OR(E44="",G44=""),"",IF(K44&lt;=0,IF(H44="","",MAX(0,H44-G44)),MAX(0,TODAY()-G44)))</f>
        <v>0</v>
      </c>
      <c r="N44" s="78" t="str">
        <f aca="true">IF(OR(E44="",G44=""),"",IF(K44&lt;=0,"",IF(TODAY()&lt;=G44,"Not due yet",IF(TODAY()-G44&lt;=30,"1-30 days late",IF(TODAY()-G44&lt;=60,"31-60 days late",IF(TODAY()-G44&lt;=90,"61-90 days late","90+ days late"))))))</f>
        <v/>
      </c>
      <c r="O44" s="66" t="n">
        <f aca="false">IF(OR(H44="",B44="",K44&gt;0),"",H44-B44)</f>
        <v>10</v>
      </c>
    </row>
    <row r="45" customFormat="false" ht="15" hidden="false" customHeight="false" outlineLevel="0" collapsed="false">
      <c r="A45" s="51" t="n">
        <v>1040</v>
      </c>
      <c r="B45" s="65" t="n">
        <v>46235</v>
      </c>
      <c r="C45" s="51" t="s">
        <v>204</v>
      </c>
      <c r="D45" s="51" t="s">
        <v>313</v>
      </c>
      <c r="E45" s="76" t="n">
        <v>3500</v>
      </c>
      <c r="F45" s="66" t="n">
        <f aca="false">IF(C45="","",IFERROR(1/(1/INDEX(Clients!$H$6:$H$25,MATCH(C45,Clients!$B$6:$B$25,0))),Settings!$C$10))</f>
        <v>15</v>
      </c>
      <c r="G45" s="77" t="n">
        <f aca="false">IF(OR(B45="",F45=""),"",B45+F45)</f>
        <v>46250</v>
      </c>
      <c r="H45" s="65" t="n">
        <v>46239</v>
      </c>
      <c r="I45" s="76" t="n">
        <v>3500</v>
      </c>
      <c r="J45" s="51" t="s">
        <v>113</v>
      </c>
      <c r="K45" s="73" t="n">
        <f aca="false">IF(E45="","",E45-N(I45))</f>
        <v>0</v>
      </c>
      <c r="L45" s="78" t="str">
        <f aca="true">IF(E45="","",IF(K45&lt;=0,"Paid",IF(AND(G45&lt;&gt;"",TODAY()&gt;G45),"Overdue",IF(N(I45)&gt;0,"Partial","Open"))))</f>
        <v>Paid</v>
      </c>
      <c r="M45" s="66" t="n">
        <f aca="true">IF(OR(E45="",G45=""),"",IF(K45&lt;=0,IF(H45="","",MAX(0,H45-G45)),MAX(0,TODAY()-G45)))</f>
        <v>0</v>
      </c>
      <c r="N45" s="78" t="str">
        <f aca="true">IF(OR(E45="",G45=""),"",IF(K45&lt;=0,"",IF(TODAY()&lt;=G45,"Not due yet",IF(TODAY()-G45&lt;=30,"1-30 days late",IF(TODAY()-G45&lt;=60,"31-60 days late",IF(TODAY()-G45&lt;=90,"61-90 days late","90+ days late"))))))</f>
        <v/>
      </c>
      <c r="O45" s="66" t="n">
        <f aca="false">IF(OR(H45="",B45="",K45&gt;0),"",H45-B45)</f>
        <v>4</v>
      </c>
    </row>
    <row r="46" customFormat="false" ht="15" hidden="false" customHeight="false" outlineLevel="0" collapsed="false">
      <c r="A46" s="51" t="n">
        <v>1041</v>
      </c>
      <c r="B46" s="65" t="n">
        <v>46237</v>
      </c>
      <c r="C46" s="51" t="s">
        <v>225</v>
      </c>
      <c r="D46" s="51" t="s">
        <v>314</v>
      </c>
      <c r="E46" s="76" t="n">
        <v>1200</v>
      </c>
      <c r="F46" s="66" t="n">
        <f aca="false">IF(C46="","",IFERROR(1/(1/INDEX(Clients!$H$6:$H$25,MATCH(C46,Clients!$B$6:$B$25,0))),Settings!$C$10))</f>
        <v>15</v>
      </c>
      <c r="G46" s="77" t="n">
        <f aca="false">IF(OR(B46="",F46=""),"",B46+F46)</f>
        <v>46252</v>
      </c>
      <c r="H46" s="65" t="n">
        <v>46251</v>
      </c>
      <c r="I46" s="76" t="n">
        <v>1200</v>
      </c>
      <c r="J46" s="51" t="s">
        <v>122</v>
      </c>
      <c r="K46" s="73" t="n">
        <f aca="false">IF(E46="","",E46-N(I46))</f>
        <v>0</v>
      </c>
      <c r="L46" s="78" t="str">
        <f aca="true">IF(E46="","",IF(K46&lt;=0,"Paid",IF(AND(G46&lt;&gt;"",TODAY()&gt;G46),"Overdue",IF(N(I46)&gt;0,"Partial","Open"))))</f>
        <v>Paid</v>
      </c>
      <c r="M46" s="66" t="n">
        <f aca="true">IF(OR(E46="",G46=""),"",IF(K46&lt;=0,IF(H46="","",MAX(0,H46-G46)),MAX(0,TODAY()-G46)))</f>
        <v>0</v>
      </c>
      <c r="N46" s="78" t="str">
        <f aca="true">IF(OR(E46="",G46=""),"",IF(K46&lt;=0,"",IF(TODAY()&lt;=G46,"Not due yet",IF(TODAY()-G46&lt;=30,"1-30 days late",IF(TODAY()-G46&lt;=60,"31-60 days late",IF(TODAY()-G46&lt;=90,"61-90 days late","90+ days late"))))))</f>
        <v/>
      </c>
      <c r="O46" s="66" t="n">
        <f aca="false">IF(OR(H46="",B46="",K46&gt;0),"",H46-B46)</f>
        <v>14</v>
      </c>
    </row>
    <row r="47" customFormat="false" ht="15" hidden="false" customHeight="false" outlineLevel="0" collapsed="false">
      <c r="A47" s="51" t="n">
        <v>1042</v>
      </c>
      <c r="B47" s="65" t="n">
        <v>46265</v>
      </c>
      <c r="C47" s="51" t="s">
        <v>222</v>
      </c>
      <c r="D47" s="51" t="s">
        <v>315</v>
      </c>
      <c r="E47" s="76" t="n">
        <v>1760</v>
      </c>
      <c r="F47" s="66" t="n">
        <f aca="false">IF(C47="","",IFERROR(1/(1/INDEX(Clients!$H$6:$H$25,MATCH(C47,Clients!$B$6:$B$25,0))),Settings!$C$10))</f>
        <v>30</v>
      </c>
      <c r="G47" s="77" t="n">
        <f aca="false">IF(OR(B47="",F47=""),"",B47+F47)</f>
        <v>46295</v>
      </c>
      <c r="H47" s="65" t="n">
        <v>46290</v>
      </c>
      <c r="I47" s="76" t="n">
        <v>1760</v>
      </c>
      <c r="J47" s="51" t="s">
        <v>113</v>
      </c>
      <c r="K47" s="73" t="n">
        <f aca="false">IF(E47="","",E47-N(I47))</f>
        <v>0</v>
      </c>
      <c r="L47" s="78" t="str">
        <f aca="true">IF(E47="","",IF(K47&lt;=0,"Paid",IF(AND(G47&lt;&gt;"",TODAY()&gt;G47),"Overdue",IF(N(I47)&gt;0,"Partial","Open"))))</f>
        <v>Paid</v>
      </c>
      <c r="M47" s="66" t="n">
        <f aca="true">IF(OR(E47="",G47=""),"",IF(K47&lt;=0,IF(H47="","",MAX(0,H47-G47)),MAX(0,TODAY()-G47)))</f>
        <v>0</v>
      </c>
      <c r="N47" s="78" t="str">
        <f aca="true">IF(OR(E47="",G47=""),"",IF(K47&lt;=0,"",IF(TODAY()&lt;=G47,"Not due yet",IF(TODAY()-G47&lt;=30,"1-30 days late",IF(TODAY()-G47&lt;=60,"31-60 days late",IF(TODAY()-G47&lt;=90,"61-90 days late","90+ days late"))))))</f>
        <v/>
      </c>
      <c r="O47" s="66" t="n">
        <f aca="false">IF(OR(H47="",B47="",K47&gt;0),"",H47-B47)</f>
        <v>25</v>
      </c>
    </row>
    <row r="48" customFormat="false" ht="15" hidden="false" customHeight="false" outlineLevel="0" collapsed="false">
      <c r="A48" s="51" t="n">
        <v>1043</v>
      </c>
      <c r="B48" s="65" t="n">
        <v>46265</v>
      </c>
      <c r="C48" s="51" t="s">
        <v>210</v>
      </c>
      <c r="D48" s="51" t="s">
        <v>315</v>
      </c>
      <c r="E48" s="76" t="n">
        <v>1890</v>
      </c>
      <c r="F48" s="66" t="n">
        <f aca="false">IF(C48="","",IFERROR(1/(1/INDEX(Clients!$H$6:$H$25,MATCH(C48,Clients!$B$6:$B$25,0))),Settings!$C$10))</f>
        <v>30</v>
      </c>
      <c r="G48" s="77" t="n">
        <f aca="false">IF(OR(B48="",F48=""),"",B48+F48)</f>
        <v>46295</v>
      </c>
      <c r="H48" s="65" t="n">
        <v>46303</v>
      </c>
      <c r="I48" s="76" t="n">
        <v>1890</v>
      </c>
      <c r="J48" s="51" t="s">
        <v>55</v>
      </c>
      <c r="K48" s="73" t="n">
        <f aca="false">IF(E48="","",E48-N(I48))</f>
        <v>0</v>
      </c>
      <c r="L48" s="78" t="str">
        <f aca="true">IF(E48="","",IF(K48&lt;=0,"Paid",IF(AND(G48&lt;&gt;"",TODAY()&gt;G48),"Overdue",IF(N(I48)&gt;0,"Partial","Open"))))</f>
        <v>Paid</v>
      </c>
      <c r="M48" s="66" t="n">
        <f aca="true">IF(OR(E48="",G48=""),"",IF(K48&lt;=0,IF(H48="","",MAX(0,H48-G48)),MAX(0,TODAY()-G48)))</f>
        <v>8</v>
      </c>
      <c r="N48" s="78" t="str">
        <f aca="true">IF(OR(E48="",G48=""),"",IF(K48&lt;=0,"",IF(TODAY()&lt;=G48,"Not due yet",IF(TODAY()-G48&lt;=30,"1-30 days late",IF(TODAY()-G48&lt;=60,"31-60 days late",IF(TODAY()-G48&lt;=90,"61-90 days late","90+ days late"))))))</f>
        <v/>
      </c>
      <c r="O48" s="66" t="n">
        <f aca="false">IF(OR(H48="",B48="",K48&gt;0),"",H48-B48)</f>
        <v>38</v>
      </c>
    </row>
    <row r="49" customFormat="false" ht="15" hidden="false" customHeight="false" outlineLevel="0" collapsed="false">
      <c r="A49" s="51" t="n">
        <v>1044</v>
      </c>
      <c r="B49" s="65" t="n">
        <v>46265</v>
      </c>
      <c r="C49" s="51" t="s">
        <v>207</v>
      </c>
      <c r="D49" s="51" t="s">
        <v>315</v>
      </c>
      <c r="E49" s="76" t="n">
        <v>2531.25</v>
      </c>
      <c r="F49" s="66" t="n">
        <f aca="false">IF(C49="","",IFERROR(1/(1/INDEX(Clients!$H$6:$H$25,MATCH(C49,Clients!$B$6:$B$25,0))),Settings!$C$10))</f>
        <v>30</v>
      </c>
      <c r="G49" s="77" t="n">
        <f aca="false">IF(OR(B49="",F49=""),"",B49+F49)</f>
        <v>46295</v>
      </c>
      <c r="H49" s="65" t="n">
        <v>46286</v>
      </c>
      <c r="I49" s="76" t="n">
        <v>2531.25</v>
      </c>
      <c r="J49" s="51" t="s">
        <v>122</v>
      </c>
      <c r="K49" s="73" t="n">
        <f aca="false">IF(E49="","",E49-N(I49))</f>
        <v>0</v>
      </c>
      <c r="L49" s="78" t="str">
        <f aca="true">IF(E49="","",IF(K49&lt;=0,"Paid",IF(AND(G49&lt;&gt;"",TODAY()&gt;G49),"Overdue",IF(N(I49)&gt;0,"Partial","Open"))))</f>
        <v>Paid</v>
      </c>
      <c r="M49" s="66" t="n">
        <f aca="true">IF(OR(E49="",G49=""),"",IF(K49&lt;=0,IF(H49="","",MAX(0,H49-G49)),MAX(0,TODAY()-G49)))</f>
        <v>0</v>
      </c>
      <c r="N49" s="78" t="str">
        <f aca="true">IF(OR(E49="",G49=""),"",IF(K49&lt;=0,"",IF(TODAY()&lt;=G49,"Not due yet",IF(TODAY()-G49&lt;=30,"1-30 days late",IF(TODAY()-G49&lt;=60,"31-60 days late",IF(TODAY()-G49&lt;=90,"61-90 days late","90+ days late"))))))</f>
        <v/>
      </c>
      <c r="O49" s="66" t="n">
        <f aca="false">IF(OR(H49="",B49="",K49&gt;0),"",H49-B49)</f>
        <v>21</v>
      </c>
    </row>
    <row r="50" customFormat="false" ht="15" hidden="false" customHeight="false" outlineLevel="0" collapsed="false">
      <c r="A50" s="51" t="n">
        <v>1045</v>
      </c>
      <c r="B50" s="65" t="n">
        <v>46265</v>
      </c>
      <c r="C50" s="51" t="s">
        <v>216</v>
      </c>
      <c r="D50" s="51" t="s">
        <v>315</v>
      </c>
      <c r="E50" s="76" t="n">
        <v>800</v>
      </c>
      <c r="F50" s="66" t="n">
        <f aca="false">IF(C50="","",IFERROR(1/(1/INDEX(Clients!$H$6:$H$25,MATCH(C50,Clients!$B$6:$B$25,0))),Settings!$C$10))</f>
        <v>15</v>
      </c>
      <c r="G50" s="77" t="n">
        <f aca="false">IF(OR(B50="",F50=""),"",B50+F50)</f>
        <v>46280</v>
      </c>
      <c r="H50" s="65"/>
      <c r="I50" s="76"/>
      <c r="J50" s="51"/>
      <c r="K50" s="73" t="n">
        <f aca="false">IF(E50="","",E50-N(I50))</f>
        <v>800</v>
      </c>
      <c r="L50" s="78" t="str">
        <f aca="true">IF(E50="","",IF(K50&lt;=0,"Paid",IF(AND(G50&lt;&gt;"",TODAY()&gt;G50),"Overdue",IF(N(I50)&gt;0,"Partial","Open"))))</f>
        <v>Overdue</v>
      </c>
      <c r="M50" s="66" t="n">
        <f aca="true">IF(OR(E50="",G50=""),"",IF(K50&lt;=0,IF(H50="","",MAX(0,H50-G50)),MAX(0,TODAY()-G50)))</f>
        <v>29</v>
      </c>
      <c r="N50" s="78" t="str">
        <f aca="true">IF(OR(E50="",G50=""),"",IF(K50&lt;=0,"",IF(TODAY()&lt;=G50,"Not due yet",IF(TODAY()-G50&lt;=30,"1-30 days late",IF(TODAY()-G50&lt;=60,"31-60 days late",IF(TODAY()-G50&lt;=90,"61-90 days late","90+ days late"))))))</f>
        <v>1-30 days late</v>
      </c>
      <c r="O50" s="66" t="str">
        <f aca="false">IF(OR(H50="",B50="",K50&gt;0),"",H50-B50)</f>
        <v/>
      </c>
    </row>
    <row r="51" customFormat="false" ht="15" hidden="false" customHeight="false" outlineLevel="0" collapsed="false">
      <c r="A51" s="51" t="n">
        <v>1046</v>
      </c>
      <c r="B51" s="65" t="n">
        <v>46266</v>
      </c>
      <c r="C51" s="51" t="s">
        <v>213</v>
      </c>
      <c r="D51" s="51" t="s">
        <v>316</v>
      </c>
      <c r="E51" s="76" t="n">
        <v>2200</v>
      </c>
      <c r="F51" s="66" t="n">
        <f aca="false">IF(C51="","",IFERROR(1/(1/INDEX(Clients!$H$6:$H$25,MATCH(C51,Clients!$B$6:$B$25,0))),Settings!$C$10))</f>
        <v>15</v>
      </c>
      <c r="G51" s="77" t="n">
        <f aca="false">IF(OR(B51="",F51=""),"",B51+F51)</f>
        <v>46281</v>
      </c>
      <c r="H51" s="65" t="n">
        <v>46279</v>
      </c>
      <c r="I51" s="76" t="n">
        <v>2200</v>
      </c>
      <c r="J51" s="51" t="s">
        <v>113</v>
      </c>
      <c r="K51" s="73" t="n">
        <f aca="false">IF(E51="","",E51-N(I51))</f>
        <v>0</v>
      </c>
      <c r="L51" s="78" t="str">
        <f aca="true">IF(E51="","",IF(K51&lt;=0,"Paid",IF(AND(G51&lt;&gt;"",TODAY()&gt;G51),"Overdue",IF(N(I51)&gt;0,"Partial","Open"))))</f>
        <v>Paid</v>
      </c>
      <c r="M51" s="66" t="n">
        <f aca="true">IF(OR(E51="",G51=""),"",IF(K51&lt;=0,IF(H51="","",MAX(0,H51-G51)),MAX(0,TODAY()-G51)))</f>
        <v>0</v>
      </c>
      <c r="N51" s="78" t="str">
        <f aca="true">IF(OR(E51="",G51=""),"",IF(K51&lt;=0,"",IF(TODAY()&lt;=G51,"Not due yet",IF(TODAY()-G51&lt;=30,"1-30 days late",IF(TODAY()-G51&lt;=60,"31-60 days late",IF(TODAY()-G51&lt;=90,"61-90 days late","90+ days late"))))))</f>
        <v/>
      </c>
      <c r="O51" s="66" t="n">
        <f aca="false">IF(OR(H51="",B51="",K51&gt;0),"",H51-B51)</f>
        <v>13</v>
      </c>
    </row>
    <row r="52" customFormat="false" ht="15" hidden="false" customHeight="false" outlineLevel="0" collapsed="false">
      <c r="A52" s="51" t="n">
        <v>1047</v>
      </c>
      <c r="B52" s="65" t="n">
        <v>46266</v>
      </c>
      <c r="C52" s="51" t="s">
        <v>204</v>
      </c>
      <c r="D52" s="51" t="s">
        <v>316</v>
      </c>
      <c r="E52" s="76" t="n">
        <v>3500</v>
      </c>
      <c r="F52" s="66" t="n">
        <f aca="false">IF(C52="","",IFERROR(1/(1/INDEX(Clients!$H$6:$H$25,MATCH(C52,Clients!$B$6:$B$25,0))),Settings!$C$10))</f>
        <v>15</v>
      </c>
      <c r="G52" s="77" t="n">
        <f aca="false">IF(OR(B52="",F52=""),"",B52+F52)</f>
        <v>46281</v>
      </c>
      <c r="H52" s="65" t="n">
        <v>46274</v>
      </c>
      <c r="I52" s="76" t="n">
        <v>3500</v>
      </c>
      <c r="J52" s="51" t="s">
        <v>113</v>
      </c>
      <c r="K52" s="73" t="n">
        <f aca="false">IF(E52="","",E52-N(I52))</f>
        <v>0</v>
      </c>
      <c r="L52" s="78" t="str">
        <f aca="true">IF(E52="","",IF(K52&lt;=0,"Paid",IF(AND(G52&lt;&gt;"",TODAY()&gt;G52),"Overdue",IF(N(I52)&gt;0,"Partial","Open"))))</f>
        <v>Paid</v>
      </c>
      <c r="M52" s="66" t="n">
        <f aca="true">IF(OR(E52="",G52=""),"",IF(K52&lt;=0,IF(H52="","",MAX(0,H52-G52)),MAX(0,TODAY()-G52)))</f>
        <v>0</v>
      </c>
      <c r="N52" s="78" t="str">
        <f aca="true">IF(OR(E52="",G52=""),"",IF(K52&lt;=0,"",IF(TODAY()&lt;=G52,"Not due yet",IF(TODAY()-G52&lt;=30,"1-30 days late",IF(TODAY()-G52&lt;=60,"31-60 days late",IF(TODAY()-G52&lt;=90,"61-90 days late","90+ days late"))))))</f>
        <v/>
      </c>
      <c r="O52" s="66" t="n">
        <f aca="false">IF(OR(H52="",B52="",K52&gt;0),"",H52-B52)</f>
        <v>8</v>
      </c>
    </row>
    <row r="53" customFormat="false" ht="15" hidden="false" customHeight="false" outlineLevel="0" collapsed="false">
      <c r="A53" s="51" t="n">
        <v>1048</v>
      </c>
      <c r="B53" s="65" t="n">
        <v>46295</v>
      </c>
      <c r="C53" s="51" t="s">
        <v>222</v>
      </c>
      <c r="D53" s="51" t="s">
        <v>317</v>
      </c>
      <c r="E53" s="76" t="n">
        <v>1920</v>
      </c>
      <c r="F53" s="66" t="n">
        <f aca="false">IF(C53="","",IFERROR(1/(1/INDEX(Clients!$H$6:$H$25,MATCH(C53,Clients!$B$6:$B$25,0))),Settings!$C$10))</f>
        <v>30</v>
      </c>
      <c r="G53" s="77" t="n">
        <f aca="false">IF(OR(B53="",F53=""),"",B53+F53)</f>
        <v>46325</v>
      </c>
      <c r="H53" s="65"/>
      <c r="I53" s="76"/>
      <c r="J53" s="51"/>
      <c r="K53" s="73" t="n">
        <f aca="false">IF(E53="","",E53-N(I53))</f>
        <v>1920</v>
      </c>
      <c r="L53" s="78" t="str">
        <f aca="true">IF(E53="","",IF(K53&lt;=0,"Paid",IF(AND(G53&lt;&gt;"",TODAY()&gt;G53),"Overdue",IF(N(I53)&gt;0,"Partial","Open"))))</f>
        <v>Open</v>
      </c>
      <c r="M53" s="66" t="n">
        <f aca="true">IF(OR(E53="",G53=""),"",IF(K53&lt;=0,IF(H53="","",MAX(0,H53-G53)),MAX(0,TODAY()-G53)))</f>
        <v>0</v>
      </c>
      <c r="N53" s="78" t="str">
        <f aca="true">IF(OR(E53="",G53=""),"",IF(K53&lt;=0,"",IF(TODAY()&lt;=G53,"Not due yet",IF(TODAY()-G53&lt;=30,"1-30 days late",IF(TODAY()-G53&lt;=60,"31-60 days late",IF(TODAY()-G53&lt;=90,"61-90 days late","90+ days late"))))))</f>
        <v>Not due yet</v>
      </c>
      <c r="O53" s="66" t="str">
        <f aca="false">IF(OR(H53="",B53="",K53&gt;0),"",H53-B53)</f>
        <v/>
      </c>
    </row>
    <row r="54" customFormat="false" ht="15" hidden="false" customHeight="false" outlineLevel="0" collapsed="false">
      <c r="A54" s="51" t="n">
        <v>1049</v>
      </c>
      <c r="B54" s="65" t="n">
        <v>46295</v>
      </c>
      <c r="C54" s="51" t="s">
        <v>210</v>
      </c>
      <c r="D54" s="51" t="s">
        <v>317</v>
      </c>
      <c r="E54" s="76" t="n">
        <v>1620</v>
      </c>
      <c r="F54" s="66" t="n">
        <f aca="false">IF(C54="","",IFERROR(1/(1/INDEX(Clients!$H$6:$H$25,MATCH(C54,Clients!$B$6:$B$25,0))),Settings!$C$10))</f>
        <v>30</v>
      </c>
      <c r="G54" s="77" t="n">
        <f aca="false">IF(OR(B54="",F54=""),"",B54+F54)</f>
        <v>46325</v>
      </c>
      <c r="H54" s="65"/>
      <c r="I54" s="76"/>
      <c r="J54" s="51"/>
      <c r="K54" s="73" t="n">
        <f aca="false">IF(E54="","",E54-N(I54))</f>
        <v>1620</v>
      </c>
      <c r="L54" s="78" t="str">
        <f aca="true">IF(E54="","",IF(K54&lt;=0,"Paid",IF(AND(G54&lt;&gt;"",TODAY()&gt;G54),"Overdue",IF(N(I54)&gt;0,"Partial","Open"))))</f>
        <v>Open</v>
      </c>
      <c r="M54" s="66" t="n">
        <f aca="true">IF(OR(E54="",G54=""),"",IF(K54&lt;=0,IF(H54="","",MAX(0,H54-G54)),MAX(0,TODAY()-G54)))</f>
        <v>0</v>
      </c>
      <c r="N54" s="78" t="str">
        <f aca="true">IF(OR(E54="",G54=""),"",IF(K54&lt;=0,"",IF(TODAY()&lt;=G54,"Not due yet",IF(TODAY()-G54&lt;=30,"1-30 days late",IF(TODAY()-G54&lt;=60,"31-60 days late",IF(TODAY()-G54&lt;=90,"61-90 days late","90+ days late"))))))</f>
        <v>Not due yet</v>
      </c>
      <c r="O54" s="66" t="str">
        <f aca="false">IF(OR(H54="",B54="",K54&gt;0),"",H54-B54)</f>
        <v/>
      </c>
    </row>
    <row r="55" customFormat="false" ht="15" hidden="false" customHeight="false" outlineLevel="0" collapsed="false">
      <c r="A55" s="51" t="n">
        <v>1050</v>
      </c>
      <c r="B55" s="65" t="n">
        <v>46295</v>
      </c>
      <c r="C55" s="51" t="s">
        <v>207</v>
      </c>
      <c r="D55" s="51" t="s">
        <v>317</v>
      </c>
      <c r="E55" s="76" t="n">
        <v>2375</v>
      </c>
      <c r="F55" s="66" t="n">
        <f aca="false">IF(C55="","",IFERROR(1/(1/INDEX(Clients!$H$6:$H$25,MATCH(C55,Clients!$B$6:$B$25,0))),Settings!$C$10))</f>
        <v>30</v>
      </c>
      <c r="G55" s="77" t="n">
        <f aca="false">IF(OR(B55="",F55=""),"",B55+F55)</f>
        <v>46325</v>
      </c>
      <c r="H55" s="65"/>
      <c r="I55" s="76"/>
      <c r="J55" s="51"/>
      <c r="K55" s="73" t="n">
        <f aca="false">IF(E55="","",E55-N(I55))</f>
        <v>2375</v>
      </c>
      <c r="L55" s="78" t="str">
        <f aca="true">IF(E55="","",IF(K55&lt;=0,"Paid",IF(AND(G55&lt;&gt;"",TODAY()&gt;G55),"Overdue",IF(N(I55)&gt;0,"Partial","Open"))))</f>
        <v>Open</v>
      </c>
      <c r="M55" s="66" t="n">
        <f aca="true">IF(OR(E55="",G55=""),"",IF(K55&lt;=0,IF(H55="","",MAX(0,H55-G55)),MAX(0,TODAY()-G55)))</f>
        <v>0</v>
      </c>
      <c r="N55" s="78" t="str">
        <f aca="true">IF(OR(E55="",G55=""),"",IF(K55&lt;=0,"",IF(TODAY()&lt;=G55,"Not due yet",IF(TODAY()-G55&lt;=30,"1-30 days late",IF(TODAY()-G55&lt;=60,"31-60 days late",IF(TODAY()-G55&lt;=90,"61-90 days late","90+ days late"))))))</f>
        <v>Not due yet</v>
      </c>
      <c r="O55" s="66" t="str">
        <f aca="false">IF(OR(H55="",B55="",K55&gt;0),"",H55-B55)</f>
        <v/>
      </c>
    </row>
    <row r="56" customFormat="false" ht="15" hidden="false" customHeight="false" outlineLevel="0" collapsed="false">
      <c r="A56" s="51" t="n">
        <v>1051</v>
      </c>
      <c r="B56" s="65" t="n">
        <v>46295</v>
      </c>
      <c r="C56" s="51" t="s">
        <v>225</v>
      </c>
      <c r="D56" s="51" t="s">
        <v>318</v>
      </c>
      <c r="E56" s="76" t="n">
        <v>1200</v>
      </c>
      <c r="F56" s="66" t="n">
        <f aca="false">IF(C56="","",IFERROR(1/(1/INDEX(Clients!$H$6:$H$25,MATCH(C56,Clients!$B$6:$B$25,0))),Settings!$C$10))</f>
        <v>15</v>
      </c>
      <c r="G56" s="77" t="n">
        <f aca="false">IF(OR(B56="",F56=""),"",B56+F56)</f>
        <v>46310</v>
      </c>
      <c r="H56" s="65"/>
      <c r="I56" s="76"/>
      <c r="J56" s="51"/>
      <c r="K56" s="73" t="n">
        <f aca="false">IF(E56="","",E56-N(I56))</f>
        <v>1200</v>
      </c>
      <c r="L56" s="78" t="str">
        <f aca="true">IF(E56="","",IF(K56&lt;=0,"Paid",IF(AND(G56&lt;&gt;"",TODAY()&gt;G56),"Overdue",IF(N(I56)&gt;0,"Partial","Open"))))</f>
        <v>Open</v>
      </c>
      <c r="M56" s="66" t="n">
        <f aca="true">IF(OR(E56="",G56=""),"",IF(K56&lt;=0,IF(H56="","",MAX(0,H56-G56)),MAX(0,TODAY()-G56)))</f>
        <v>0</v>
      </c>
      <c r="N56" s="78" t="str">
        <f aca="true">IF(OR(E56="",G56=""),"",IF(K56&lt;=0,"",IF(TODAY()&lt;=G56,"Not due yet",IF(TODAY()-G56&lt;=30,"1-30 days late",IF(TODAY()-G56&lt;=60,"31-60 days late",IF(TODAY()-G56&lt;=90,"61-90 days late","90+ days late"))))))</f>
        <v>Not due yet</v>
      </c>
      <c r="O56" s="66" t="str">
        <f aca="false">IF(OR(H56="",B56="",K56&gt;0),"",H56-B56)</f>
        <v/>
      </c>
    </row>
    <row r="57" customFormat="false" ht="15" hidden="false" customHeight="false" outlineLevel="0" collapsed="false">
      <c r="A57" s="51" t="n">
        <v>1052</v>
      </c>
      <c r="B57" s="65" t="n">
        <v>46295</v>
      </c>
      <c r="C57" s="51" t="s">
        <v>216</v>
      </c>
      <c r="D57" s="51" t="s">
        <v>317</v>
      </c>
      <c r="E57" s="76" t="n">
        <v>600</v>
      </c>
      <c r="F57" s="66" t="n">
        <f aca="false">IF(C57="","",IFERROR(1/(1/INDEX(Clients!$H$6:$H$25,MATCH(C57,Clients!$B$6:$B$25,0))),Settings!$C$10))</f>
        <v>15</v>
      </c>
      <c r="G57" s="77" t="n">
        <f aca="false">IF(OR(B57="",F57=""),"",B57+F57)</f>
        <v>46310</v>
      </c>
      <c r="H57" s="65"/>
      <c r="I57" s="76"/>
      <c r="J57" s="51"/>
      <c r="K57" s="73" t="n">
        <f aca="false">IF(E57="","",E57-N(I57))</f>
        <v>600</v>
      </c>
      <c r="L57" s="78" t="str">
        <f aca="true">IF(E57="","",IF(K57&lt;=0,"Paid",IF(AND(G57&lt;&gt;"",TODAY()&gt;G57),"Overdue",IF(N(I57)&gt;0,"Partial","Open"))))</f>
        <v>Open</v>
      </c>
      <c r="M57" s="66" t="n">
        <f aca="true">IF(OR(E57="",G57=""),"",IF(K57&lt;=0,IF(H57="","",MAX(0,H57-G57)),MAX(0,TODAY()-G57)))</f>
        <v>0</v>
      </c>
      <c r="N57" s="78" t="str">
        <f aca="true">IF(OR(E57="",G57=""),"",IF(K57&lt;=0,"",IF(TODAY()&lt;=G57,"Not due yet",IF(TODAY()-G57&lt;=30,"1-30 days late",IF(TODAY()-G57&lt;=60,"31-60 days late",IF(TODAY()-G57&lt;=90,"61-90 days late","90+ days late"))))))</f>
        <v>Not due yet</v>
      </c>
      <c r="O57" s="66" t="str">
        <f aca="false">IF(OR(H57="",B57="",K57&gt;0),"",H57-B57)</f>
        <v/>
      </c>
    </row>
    <row r="58" customFormat="false" ht="15" hidden="false" customHeight="false" outlineLevel="0" collapsed="false">
      <c r="A58" s="51" t="n">
        <v>1053</v>
      </c>
      <c r="B58" s="65" t="n">
        <v>46296</v>
      </c>
      <c r="C58" s="51" t="s">
        <v>213</v>
      </c>
      <c r="D58" s="51" t="s">
        <v>319</v>
      </c>
      <c r="E58" s="76" t="n">
        <v>2200</v>
      </c>
      <c r="F58" s="66" t="n">
        <f aca="false">IF(C58="","",IFERROR(1/(1/INDEX(Clients!$H$6:$H$25,MATCH(C58,Clients!$B$6:$B$25,0))),Settings!$C$10))</f>
        <v>15</v>
      </c>
      <c r="G58" s="77" t="n">
        <f aca="false">IF(OR(B58="",F58=""),"",B58+F58)</f>
        <v>46311</v>
      </c>
      <c r="H58" s="65"/>
      <c r="I58" s="76"/>
      <c r="J58" s="51"/>
      <c r="K58" s="73" t="n">
        <f aca="false">IF(E58="","",E58-N(I58))</f>
        <v>2200</v>
      </c>
      <c r="L58" s="78" t="str">
        <f aca="true">IF(E58="","",IF(K58&lt;=0,"Paid",IF(AND(G58&lt;&gt;"",TODAY()&gt;G58),"Overdue",IF(N(I58)&gt;0,"Partial","Open"))))</f>
        <v>Open</v>
      </c>
      <c r="M58" s="66" t="n">
        <f aca="true">IF(OR(E58="",G58=""),"",IF(K58&lt;=0,IF(H58="","",MAX(0,H58-G58)),MAX(0,TODAY()-G58)))</f>
        <v>0</v>
      </c>
      <c r="N58" s="78" t="str">
        <f aca="true">IF(OR(E58="",G58=""),"",IF(K58&lt;=0,"",IF(TODAY()&lt;=G58,"Not due yet",IF(TODAY()-G58&lt;=30,"1-30 days late",IF(TODAY()-G58&lt;=60,"31-60 days late",IF(TODAY()-G58&lt;=90,"61-90 days late","90+ days late"))))))</f>
        <v>Not due yet</v>
      </c>
      <c r="O58" s="66" t="str">
        <f aca="false">IF(OR(H58="",B58="",K58&gt;0),"",H58-B58)</f>
        <v/>
      </c>
    </row>
    <row r="59" customFormat="false" ht="15" hidden="false" customHeight="false" outlineLevel="0" collapsed="false">
      <c r="A59" s="51" t="n">
        <v>1054</v>
      </c>
      <c r="B59" s="65" t="n">
        <v>46296</v>
      </c>
      <c r="C59" s="51" t="s">
        <v>204</v>
      </c>
      <c r="D59" s="51" t="s">
        <v>319</v>
      </c>
      <c r="E59" s="76" t="n">
        <v>3500</v>
      </c>
      <c r="F59" s="66" t="n">
        <f aca="false">IF(C59="","",IFERROR(1/(1/INDEX(Clients!$H$6:$H$25,MATCH(C59,Clients!$B$6:$B$25,0))),Settings!$C$10))</f>
        <v>15</v>
      </c>
      <c r="G59" s="77" t="n">
        <f aca="false">IF(OR(B59="",F59=""),"",B59+F59)</f>
        <v>46311</v>
      </c>
      <c r="H59" s="65" t="n">
        <v>46301</v>
      </c>
      <c r="I59" s="76" t="n">
        <v>3500</v>
      </c>
      <c r="J59" s="51" t="s">
        <v>113</v>
      </c>
      <c r="K59" s="73" t="n">
        <f aca="false">IF(E59="","",E59-N(I59))</f>
        <v>0</v>
      </c>
      <c r="L59" s="78" t="str">
        <f aca="true">IF(E59="","",IF(K59&lt;=0,"Paid",IF(AND(G59&lt;&gt;"",TODAY()&gt;G59),"Overdue",IF(N(I59)&gt;0,"Partial","Open"))))</f>
        <v>Paid</v>
      </c>
      <c r="M59" s="66" t="n">
        <f aca="true">IF(OR(E59="",G59=""),"",IF(K59&lt;=0,IF(H59="","",MAX(0,H59-G59)),MAX(0,TODAY()-G59)))</f>
        <v>0</v>
      </c>
      <c r="N59" s="78" t="str">
        <f aca="true">IF(OR(E59="",G59=""),"",IF(K59&lt;=0,"",IF(TODAY()&lt;=G59,"Not due yet",IF(TODAY()-G59&lt;=30,"1-30 days late",IF(TODAY()-G59&lt;=60,"31-60 days late",IF(TODAY()-G59&lt;=90,"61-90 days late","90+ days late"))))))</f>
        <v/>
      </c>
      <c r="O59" s="66" t="n">
        <f aca="false">IF(OR(H59="",B59="",K59&gt;0),"",H59-B59)</f>
        <v>5</v>
      </c>
    </row>
    <row r="60" customFormat="false" ht="15" hidden="false" customHeight="false" outlineLevel="0" collapsed="false">
      <c r="A60" s="51"/>
      <c r="B60" s="65"/>
      <c r="C60" s="51"/>
      <c r="D60" s="51"/>
      <c r="E60" s="76"/>
      <c r="F60" s="66" t="str">
        <f aca="false">IF(C60="","",IFERROR(1/(1/INDEX(Clients!$H$6:$H$25,MATCH(C60,Clients!$B$6:$B$25,0))),Settings!$C$10))</f>
        <v/>
      </c>
      <c r="G60" s="77" t="str">
        <f aca="false">IF(OR(B60="",F60=""),"",B60+F60)</f>
        <v/>
      </c>
      <c r="H60" s="65"/>
      <c r="I60" s="76"/>
      <c r="J60" s="51"/>
      <c r="K60" s="73" t="str">
        <f aca="false">IF(E60="","",E60-N(I60))</f>
        <v/>
      </c>
      <c r="L60" s="78" t="str">
        <f aca="true">IF(E60="","",IF(K60&lt;=0,"Paid",IF(AND(G60&lt;&gt;"",TODAY()&gt;G60),"Overdue",IF(N(I60)&gt;0,"Partial","Open"))))</f>
        <v/>
      </c>
      <c r="M60" s="66" t="str">
        <f aca="true">IF(OR(E60="",G60=""),"",IF(K60&lt;=0,IF(H60="","",MAX(0,H60-G60)),MAX(0,TODAY()-G60)))</f>
        <v/>
      </c>
      <c r="N60" s="78" t="str">
        <f aca="true">IF(OR(E60="",G60=""),"",IF(K60&lt;=0,"",IF(TODAY()&lt;=G60,"Not due yet",IF(TODAY()-G60&lt;=30,"1-30 days late",IF(TODAY()-G60&lt;=60,"31-60 days late",IF(TODAY()-G60&lt;=90,"61-90 days late","90+ days late"))))))</f>
        <v/>
      </c>
      <c r="O60" s="66" t="str">
        <f aca="false">IF(OR(H60="",B60="",K60&gt;0),"",H60-B60)</f>
        <v/>
      </c>
    </row>
    <row r="61" customFormat="false" ht="15" hidden="false" customHeight="false" outlineLevel="0" collapsed="false">
      <c r="A61" s="51"/>
      <c r="B61" s="65"/>
      <c r="C61" s="51"/>
      <c r="D61" s="51"/>
      <c r="E61" s="76"/>
      <c r="F61" s="66" t="str">
        <f aca="false">IF(C61="","",IFERROR(1/(1/INDEX(Clients!$H$6:$H$25,MATCH(C61,Clients!$B$6:$B$25,0))),Settings!$C$10))</f>
        <v/>
      </c>
      <c r="G61" s="77" t="str">
        <f aca="false">IF(OR(B61="",F61=""),"",B61+F61)</f>
        <v/>
      </c>
      <c r="H61" s="65"/>
      <c r="I61" s="76"/>
      <c r="J61" s="51"/>
      <c r="K61" s="73" t="str">
        <f aca="false">IF(E61="","",E61-N(I61))</f>
        <v/>
      </c>
      <c r="L61" s="78" t="str">
        <f aca="true">IF(E61="","",IF(K61&lt;=0,"Paid",IF(AND(G61&lt;&gt;"",TODAY()&gt;G61),"Overdue",IF(N(I61)&gt;0,"Partial","Open"))))</f>
        <v/>
      </c>
      <c r="M61" s="66" t="str">
        <f aca="true">IF(OR(E61="",G61=""),"",IF(K61&lt;=0,IF(H61="","",MAX(0,H61-G61)),MAX(0,TODAY()-G61)))</f>
        <v/>
      </c>
      <c r="N61" s="78" t="str">
        <f aca="true">IF(OR(E61="",G61=""),"",IF(K61&lt;=0,"",IF(TODAY()&lt;=G61,"Not due yet",IF(TODAY()-G61&lt;=30,"1-30 days late",IF(TODAY()-G61&lt;=60,"31-60 days late",IF(TODAY()-G61&lt;=90,"61-90 days late","90+ days late"))))))</f>
        <v/>
      </c>
      <c r="O61" s="66" t="str">
        <f aca="false">IF(OR(H61="",B61="",K61&gt;0),"",H61-B61)</f>
        <v/>
      </c>
    </row>
    <row r="62" customFormat="false" ht="15" hidden="false" customHeight="false" outlineLevel="0" collapsed="false">
      <c r="A62" s="51"/>
      <c r="B62" s="65"/>
      <c r="C62" s="51"/>
      <c r="D62" s="51"/>
      <c r="E62" s="76"/>
      <c r="F62" s="66" t="str">
        <f aca="false">IF(C62="","",IFERROR(1/(1/INDEX(Clients!$H$6:$H$25,MATCH(C62,Clients!$B$6:$B$25,0))),Settings!$C$10))</f>
        <v/>
      </c>
      <c r="G62" s="77" t="str">
        <f aca="false">IF(OR(B62="",F62=""),"",B62+F62)</f>
        <v/>
      </c>
      <c r="H62" s="65"/>
      <c r="I62" s="76"/>
      <c r="J62" s="51"/>
      <c r="K62" s="73" t="str">
        <f aca="false">IF(E62="","",E62-N(I62))</f>
        <v/>
      </c>
      <c r="L62" s="78" t="str">
        <f aca="true">IF(E62="","",IF(K62&lt;=0,"Paid",IF(AND(G62&lt;&gt;"",TODAY()&gt;G62),"Overdue",IF(N(I62)&gt;0,"Partial","Open"))))</f>
        <v/>
      </c>
      <c r="M62" s="66" t="str">
        <f aca="true">IF(OR(E62="",G62=""),"",IF(K62&lt;=0,IF(H62="","",MAX(0,H62-G62)),MAX(0,TODAY()-G62)))</f>
        <v/>
      </c>
      <c r="N62" s="78" t="str">
        <f aca="true">IF(OR(E62="",G62=""),"",IF(K62&lt;=0,"",IF(TODAY()&lt;=G62,"Not due yet",IF(TODAY()-G62&lt;=30,"1-30 days late",IF(TODAY()-G62&lt;=60,"31-60 days late",IF(TODAY()-G62&lt;=90,"61-90 days late","90+ days late"))))))</f>
        <v/>
      </c>
      <c r="O62" s="66" t="str">
        <f aca="false">IF(OR(H62="",B62="",K62&gt;0),"",H62-B62)</f>
        <v/>
      </c>
    </row>
    <row r="63" customFormat="false" ht="15" hidden="false" customHeight="false" outlineLevel="0" collapsed="false">
      <c r="A63" s="51"/>
      <c r="B63" s="65"/>
      <c r="C63" s="51"/>
      <c r="D63" s="51"/>
      <c r="E63" s="76"/>
      <c r="F63" s="66" t="str">
        <f aca="false">IF(C63="","",IFERROR(1/(1/INDEX(Clients!$H$6:$H$25,MATCH(C63,Clients!$B$6:$B$25,0))),Settings!$C$10))</f>
        <v/>
      </c>
      <c r="G63" s="77" t="str">
        <f aca="false">IF(OR(B63="",F63=""),"",B63+F63)</f>
        <v/>
      </c>
      <c r="H63" s="65"/>
      <c r="I63" s="76"/>
      <c r="J63" s="51"/>
      <c r="K63" s="73" t="str">
        <f aca="false">IF(E63="","",E63-N(I63))</f>
        <v/>
      </c>
      <c r="L63" s="78" t="str">
        <f aca="true">IF(E63="","",IF(K63&lt;=0,"Paid",IF(AND(G63&lt;&gt;"",TODAY()&gt;G63),"Overdue",IF(N(I63)&gt;0,"Partial","Open"))))</f>
        <v/>
      </c>
      <c r="M63" s="66" t="str">
        <f aca="true">IF(OR(E63="",G63=""),"",IF(K63&lt;=0,IF(H63="","",MAX(0,H63-G63)),MAX(0,TODAY()-G63)))</f>
        <v/>
      </c>
      <c r="N63" s="78" t="str">
        <f aca="true">IF(OR(E63="",G63=""),"",IF(K63&lt;=0,"",IF(TODAY()&lt;=G63,"Not due yet",IF(TODAY()-G63&lt;=30,"1-30 days late",IF(TODAY()-G63&lt;=60,"31-60 days late",IF(TODAY()-G63&lt;=90,"61-90 days late","90+ days late"))))))</f>
        <v/>
      </c>
      <c r="O63" s="66" t="str">
        <f aca="false">IF(OR(H63="",B63="",K63&gt;0),"",H63-B63)</f>
        <v/>
      </c>
    </row>
    <row r="64" customFormat="false" ht="15" hidden="false" customHeight="false" outlineLevel="0" collapsed="false">
      <c r="A64" s="51"/>
      <c r="B64" s="65"/>
      <c r="C64" s="51"/>
      <c r="D64" s="51"/>
      <c r="E64" s="76"/>
      <c r="F64" s="66" t="str">
        <f aca="false">IF(C64="","",IFERROR(1/(1/INDEX(Clients!$H$6:$H$25,MATCH(C64,Clients!$B$6:$B$25,0))),Settings!$C$10))</f>
        <v/>
      </c>
      <c r="G64" s="77" t="str">
        <f aca="false">IF(OR(B64="",F64=""),"",B64+F64)</f>
        <v/>
      </c>
      <c r="H64" s="65"/>
      <c r="I64" s="76"/>
      <c r="J64" s="51"/>
      <c r="K64" s="73" t="str">
        <f aca="false">IF(E64="","",E64-N(I64))</f>
        <v/>
      </c>
      <c r="L64" s="78" t="str">
        <f aca="true">IF(E64="","",IF(K64&lt;=0,"Paid",IF(AND(G64&lt;&gt;"",TODAY()&gt;G64),"Overdue",IF(N(I64)&gt;0,"Partial","Open"))))</f>
        <v/>
      </c>
      <c r="M64" s="66" t="str">
        <f aca="true">IF(OR(E64="",G64=""),"",IF(K64&lt;=0,IF(H64="","",MAX(0,H64-G64)),MAX(0,TODAY()-G64)))</f>
        <v/>
      </c>
      <c r="N64" s="78" t="str">
        <f aca="true">IF(OR(E64="",G64=""),"",IF(K64&lt;=0,"",IF(TODAY()&lt;=G64,"Not due yet",IF(TODAY()-G64&lt;=30,"1-30 days late",IF(TODAY()-G64&lt;=60,"31-60 days late",IF(TODAY()-G64&lt;=90,"61-90 days late","90+ days late"))))))</f>
        <v/>
      </c>
      <c r="O64" s="66" t="str">
        <f aca="false">IF(OR(H64="",B64="",K64&gt;0),"",H64-B64)</f>
        <v/>
      </c>
    </row>
    <row r="65" customFormat="false" ht="15" hidden="false" customHeight="false" outlineLevel="0" collapsed="false">
      <c r="A65" s="51"/>
      <c r="B65" s="65"/>
      <c r="C65" s="51"/>
      <c r="D65" s="51"/>
      <c r="E65" s="76"/>
      <c r="F65" s="66" t="str">
        <f aca="false">IF(C65="","",IFERROR(1/(1/INDEX(Clients!$H$6:$H$25,MATCH(C65,Clients!$B$6:$B$25,0))),Settings!$C$10))</f>
        <v/>
      </c>
      <c r="G65" s="77" t="str">
        <f aca="false">IF(OR(B65="",F65=""),"",B65+F65)</f>
        <v/>
      </c>
      <c r="H65" s="65"/>
      <c r="I65" s="76"/>
      <c r="J65" s="51"/>
      <c r="K65" s="73" t="str">
        <f aca="false">IF(E65="","",E65-N(I65))</f>
        <v/>
      </c>
      <c r="L65" s="78" t="str">
        <f aca="true">IF(E65="","",IF(K65&lt;=0,"Paid",IF(AND(G65&lt;&gt;"",TODAY()&gt;G65),"Overdue",IF(N(I65)&gt;0,"Partial","Open"))))</f>
        <v/>
      </c>
      <c r="M65" s="66" t="str">
        <f aca="true">IF(OR(E65="",G65=""),"",IF(K65&lt;=0,IF(H65="","",MAX(0,H65-G65)),MAX(0,TODAY()-G65)))</f>
        <v/>
      </c>
      <c r="N65" s="78" t="str">
        <f aca="true">IF(OR(E65="",G65=""),"",IF(K65&lt;=0,"",IF(TODAY()&lt;=G65,"Not due yet",IF(TODAY()-G65&lt;=30,"1-30 days late",IF(TODAY()-G65&lt;=60,"31-60 days late",IF(TODAY()-G65&lt;=90,"61-90 days late","90+ days late"))))))</f>
        <v/>
      </c>
      <c r="O65" s="66" t="str">
        <f aca="false">IF(OR(H65="",B65="",K65&gt;0),"",H65-B65)</f>
        <v/>
      </c>
    </row>
    <row r="66" customFormat="false" ht="15" hidden="false" customHeight="false" outlineLevel="0" collapsed="false">
      <c r="A66" s="51"/>
      <c r="B66" s="65"/>
      <c r="C66" s="51"/>
      <c r="D66" s="51"/>
      <c r="E66" s="76"/>
      <c r="F66" s="66" t="str">
        <f aca="false">IF(C66="","",IFERROR(1/(1/INDEX(Clients!$H$6:$H$25,MATCH(C66,Clients!$B$6:$B$25,0))),Settings!$C$10))</f>
        <v/>
      </c>
      <c r="G66" s="77" t="str">
        <f aca="false">IF(OR(B66="",F66=""),"",B66+F66)</f>
        <v/>
      </c>
      <c r="H66" s="65"/>
      <c r="I66" s="76"/>
      <c r="J66" s="51"/>
      <c r="K66" s="73" t="str">
        <f aca="false">IF(E66="","",E66-N(I66))</f>
        <v/>
      </c>
      <c r="L66" s="78" t="str">
        <f aca="true">IF(E66="","",IF(K66&lt;=0,"Paid",IF(AND(G66&lt;&gt;"",TODAY()&gt;G66),"Overdue",IF(N(I66)&gt;0,"Partial","Open"))))</f>
        <v/>
      </c>
      <c r="M66" s="66" t="str">
        <f aca="true">IF(OR(E66="",G66=""),"",IF(K66&lt;=0,IF(H66="","",MAX(0,H66-G66)),MAX(0,TODAY()-G66)))</f>
        <v/>
      </c>
      <c r="N66" s="78" t="str">
        <f aca="true">IF(OR(E66="",G66=""),"",IF(K66&lt;=0,"",IF(TODAY()&lt;=G66,"Not due yet",IF(TODAY()-G66&lt;=30,"1-30 days late",IF(TODAY()-G66&lt;=60,"31-60 days late",IF(TODAY()-G66&lt;=90,"61-90 days late","90+ days late"))))))</f>
        <v/>
      </c>
      <c r="O66" s="66" t="str">
        <f aca="false">IF(OR(H66="",B66="",K66&gt;0),"",H66-B66)</f>
        <v/>
      </c>
    </row>
    <row r="67" customFormat="false" ht="15" hidden="false" customHeight="false" outlineLevel="0" collapsed="false">
      <c r="A67" s="51"/>
      <c r="B67" s="65"/>
      <c r="C67" s="51"/>
      <c r="D67" s="51"/>
      <c r="E67" s="76"/>
      <c r="F67" s="66" t="str">
        <f aca="false">IF(C67="","",IFERROR(1/(1/INDEX(Clients!$H$6:$H$25,MATCH(C67,Clients!$B$6:$B$25,0))),Settings!$C$10))</f>
        <v/>
      </c>
      <c r="G67" s="77" t="str">
        <f aca="false">IF(OR(B67="",F67=""),"",B67+F67)</f>
        <v/>
      </c>
      <c r="H67" s="65"/>
      <c r="I67" s="76"/>
      <c r="J67" s="51"/>
      <c r="K67" s="73" t="str">
        <f aca="false">IF(E67="","",E67-N(I67))</f>
        <v/>
      </c>
      <c r="L67" s="78" t="str">
        <f aca="true">IF(E67="","",IF(K67&lt;=0,"Paid",IF(AND(G67&lt;&gt;"",TODAY()&gt;G67),"Overdue",IF(N(I67)&gt;0,"Partial","Open"))))</f>
        <v/>
      </c>
      <c r="M67" s="66" t="str">
        <f aca="true">IF(OR(E67="",G67=""),"",IF(K67&lt;=0,IF(H67="","",MAX(0,H67-G67)),MAX(0,TODAY()-G67)))</f>
        <v/>
      </c>
      <c r="N67" s="78" t="str">
        <f aca="true">IF(OR(E67="",G67=""),"",IF(K67&lt;=0,"",IF(TODAY()&lt;=G67,"Not due yet",IF(TODAY()-G67&lt;=30,"1-30 days late",IF(TODAY()-G67&lt;=60,"31-60 days late",IF(TODAY()-G67&lt;=90,"61-90 days late","90+ days late"))))))</f>
        <v/>
      </c>
      <c r="O67" s="66" t="str">
        <f aca="false">IF(OR(H67="",B67="",K67&gt;0),"",H67-B67)</f>
        <v/>
      </c>
    </row>
    <row r="68" customFormat="false" ht="15" hidden="false" customHeight="false" outlineLevel="0" collapsed="false">
      <c r="A68" s="51"/>
      <c r="B68" s="65"/>
      <c r="C68" s="51"/>
      <c r="D68" s="51"/>
      <c r="E68" s="76"/>
      <c r="F68" s="66" t="str">
        <f aca="false">IF(C68="","",IFERROR(1/(1/INDEX(Clients!$H$6:$H$25,MATCH(C68,Clients!$B$6:$B$25,0))),Settings!$C$10))</f>
        <v/>
      </c>
      <c r="G68" s="77" t="str">
        <f aca="false">IF(OR(B68="",F68=""),"",B68+F68)</f>
        <v/>
      </c>
      <c r="H68" s="65"/>
      <c r="I68" s="76"/>
      <c r="J68" s="51"/>
      <c r="K68" s="73" t="str">
        <f aca="false">IF(E68="","",E68-N(I68))</f>
        <v/>
      </c>
      <c r="L68" s="78" t="str">
        <f aca="true">IF(E68="","",IF(K68&lt;=0,"Paid",IF(AND(G68&lt;&gt;"",TODAY()&gt;G68),"Overdue",IF(N(I68)&gt;0,"Partial","Open"))))</f>
        <v/>
      </c>
      <c r="M68" s="66" t="str">
        <f aca="true">IF(OR(E68="",G68=""),"",IF(K68&lt;=0,IF(H68="","",MAX(0,H68-G68)),MAX(0,TODAY()-G68)))</f>
        <v/>
      </c>
      <c r="N68" s="78" t="str">
        <f aca="true">IF(OR(E68="",G68=""),"",IF(K68&lt;=0,"",IF(TODAY()&lt;=G68,"Not due yet",IF(TODAY()-G68&lt;=30,"1-30 days late",IF(TODAY()-G68&lt;=60,"31-60 days late",IF(TODAY()-G68&lt;=90,"61-90 days late","90+ days late"))))))</f>
        <v/>
      </c>
      <c r="O68" s="66" t="str">
        <f aca="false">IF(OR(H68="",B68="",K68&gt;0),"",H68-B68)</f>
        <v/>
      </c>
    </row>
    <row r="69" customFormat="false" ht="15" hidden="false" customHeight="false" outlineLevel="0" collapsed="false">
      <c r="A69" s="51"/>
      <c r="B69" s="65"/>
      <c r="C69" s="51"/>
      <c r="D69" s="51"/>
      <c r="E69" s="76"/>
      <c r="F69" s="66" t="str">
        <f aca="false">IF(C69="","",IFERROR(1/(1/INDEX(Clients!$H$6:$H$25,MATCH(C69,Clients!$B$6:$B$25,0))),Settings!$C$10))</f>
        <v/>
      </c>
      <c r="G69" s="77" t="str">
        <f aca="false">IF(OR(B69="",F69=""),"",B69+F69)</f>
        <v/>
      </c>
      <c r="H69" s="65"/>
      <c r="I69" s="76"/>
      <c r="J69" s="51"/>
      <c r="K69" s="73" t="str">
        <f aca="false">IF(E69="","",E69-N(I69))</f>
        <v/>
      </c>
      <c r="L69" s="78" t="str">
        <f aca="true">IF(E69="","",IF(K69&lt;=0,"Paid",IF(AND(G69&lt;&gt;"",TODAY()&gt;G69),"Overdue",IF(N(I69)&gt;0,"Partial","Open"))))</f>
        <v/>
      </c>
      <c r="M69" s="66" t="str">
        <f aca="true">IF(OR(E69="",G69=""),"",IF(K69&lt;=0,IF(H69="","",MAX(0,H69-G69)),MAX(0,TODAY()-G69)))</f>
        <v/>
      </c>
      <c r="N69" s="78" t="str">
        <f aca="true">IF(OR(E69="",G69=""),"",IF(K69&lt;=0,"",IF(TODAY()&lt;=G69,"Not due yet",IF(TODAY()-G69&lt;=30,"1-30 days late",IF(TODAY()-G69&lt;=60,"31-60 days late",IF(TODAY()-G69&lt;=90,"61-90 days late","90+ days late"))))))</f>
        <v/>
      </c>
      <c r="O69" s="66" t="str">
        <f aca="false">IF(OR(H69="",B69="",K69&gt;0),"",H69-B69)</f>
        <v/>
      </c>
    </row>
    <row r="70" customFormat="false" ht="15" hidden="false" customHeight="false" outlineLevel="0" collapsed="false">
      <c r="A70" s="51"/>
      <c r="B70" s="65"/>
      <c r="C70" s="51"/>
      <c r="D70" s="51"/>
      <c r="E70" s="76"/>
      <c r="F70" s="66" t="str">
        <f aca="false">IF(C70="","",IFERROR(1/(1/INDEX(Clients!$H$6:$H$25,MATCH(C70,Clients!$B$6:$B$25,0))),Settings!$C$10))</f>
        <v/>
      </c>
      <c r="G70" s="77" t="str">
        <f aca="false">IF(OR(B70="",F70=""),"",B70+F70)</f>
        <v/>
      </c>
      <c r="H70" s="65"/>
      <c r="I70" s="76"/>
      <c r="J70" s="51"/>
      <c r="K70" s="73" t="str">
        <f aca="false">IF(E70="","",E70-N(I70))</f>
        <v/>
      </c>
      <c r="L70" s="78" t="str">
        <f aca="true">IF(E70="","",IF(K70&lt;=0,"Paid",IF(AND(G70&lt;&gt;"",TODAY()&gt;G70),"Overdue",IF(N(I70)&gt;0,"Partial","Open"))))</f>
        <v/>
      </c>
      <c r="M70" s="66" t="str">
        <f aca="true">IF(OR(E70="",G70=""),"",IF(K70&lt;=0,IF(H70="","",MAX(0,H70-G70)),MAX(0,TODAY()-G70)))</f>
        <v/>
      </c>
      <c r="N70" s="78" t="str">
        <f aca="true">IF(OR(E70="",G70=""),"",IF(K70&lt;=0,"",IF(TODAY()&lt;=G70,"Not due yet",IF(TODAY()-G70&lt;=30,"1-30 days late",IF(TODAY()-G70&lt;=60,"31-60 days late",IF(TODAY()-G70&lt;=90,"61-90 days late","90+ days late"))))))</f>
        <v/>
      </c>
      <c r="O70" s="66" t="str">
        <f aca="false">IF(OR(H70="",B70="",K70&gt;0),"",H70-B70)</f>
        <v/>
      </c>
    </row>
    <row r="71" customFormat="false" ht="15" hidden="false" customHeight="false" outlineLevel="0" collapsed="false">
      <c r="A71" s="51"/>
      <c r="B71" s="65"/>
      <c r="C71" s="51"/>
      <c r="D71" s="51"/>
      <c r="E71" s="76"/>
      <c r="F71" s="66" t="str">
        <f aca="false">IF(C71="","",IFERROR(1/(1/INDEX(Clients!$H$6:$H$25,MATCH(C71,Clients!$B$6:$B$25,0))),Settings!$C$10))</f>
        <v/>
      </c>
      <c r="G71" s="77" t="str">
        <f aca="false">IF(OR(B71="",F71=""),"",B71+F71)</f>
        <v/>
      </c>
      <c r="H71" s="65"/>
      <c r="I71" s="76"/>
      <c r="J71" s="51"/>
      <c r="K71" s="73" t="str">
        <f aca="false">IF(E71="","",E71-N(I71))</f>
        <v/>
      </c>
      <c r="L71" s="78" t="str">
        <f aca="true">IF(E71="","",IF(K71&lt;=0,"Paid",IF(AND(G71&lt;&gt;"",TODAY()&gt;G71),"Overdue",IF(N(I71)&gt;0,"Partial","Open"))))</f>
        <v/>
      </c>
      <c r="M71" s="66" t="str">
        <f aca="true">IF(OR(E71="",G71=""),"",IF(K71&lt;=0,IF(H71="","",MAX(0,H71-G71)),MAX(0,TODAY()-G71)))</f>
        <v/>
      </c>
      <c r="N71" s="78" t="str">
        <f aca="true">IF(OR(E71="",G71=""),"",IF(K71&lt;=0,"",IF(TODAY()&lt;=G71,"Not due yet",IF(TODAY()-G71&lt;=30,"1-30 days late",IF(TODAY()-G71&lt;=60,"31-60 days late",IF(TODAY()-G71&lt;=90,"61-90 days late","90+ days late"))))))</f>
        <v/>
      </c>
      <c r="O71" s="66" t="str">
        <f aca="false">IF(OR(H71="",B71="",K71&gt;0),"",H71-B71)</f>
        <v/>
      </c>
    </row>
    <row r="72" customFormat="false" ht="15" hidden="false" customHeight="false" outlineLevel="0" collapsed="false">
      <c r="A72" s="51"/>
      <c r="B72" s="65"/>
      <c r="C72" s="51"/>
      <c r="D72" s="51"/>
      <c r="E72" s="76"/>
      <c r="F72" s="66" t="str">
        <f aca="false">IF(C72="","",IFERROR(1/(1/INDEX(Clients!$H$6:$H$25,MATCH(C72,Clients!$B$6:$B$25,0))),Settings!$C$10))</f>
        <v/>
      </c>
      <c r="G72" s="77" t="str">
        <f aca="false">IF(OR(B72="",F72=""),"",B72+F72)</f>
        <v/>
      </c>
      <c r="H72" s="65"/>
      <c r="I72" s="76"/>
      <c r="J72" s="51"/>
      <c r="K72" s="73" t="str">
        <f aca="false">IF(E72="","",E72-N(I72))</f>
        <v/>
      </c>
      <c r="L72" s="78" t="str">
        <f aca="true">IF(E72="","",IF(K72&lt;=0,"Paid",IF(AND(G72&lt;&gt;"",TODAY()&gt;G72),"Overdue",IF(N(I72)&gt;0,"Partial","Open"))))</f>
        <v/>
      </c>
      <c r="M72" s="66" t="str">
        <f aca="true">IF(OR(E72="",G72=""),"",IF(K72&lt;=0,IF(H72="","",MAX(0,H72-G72)),MAX(0,TODAY()-G72)))</f>
        <v/>
      </c>
      <c r="N72" s="78" t="str">
        <f aca="true">IF(OR(E72="",G72=""),"",IF(K72&lt;=0,"",IF(TODAY()&lt;=G72,"Not due yet",IF(TODAY()-G72&lt;=30,"1-30 days late",IF(TODAY()-G72&lt;=60,"31-60 days late",IF(TODAY()-G72&lt;=90,"61-90 days late","90+ days late"))))))</f>
        <v/>
      </c>
      <c r="O72" s="66" t="str">
        <f aca="false">IF(OR(H72="",B72="",K72&gt;0),"",H72-B72)</f>
        <v/>
      </c>
    </row>
    <row r="73" customFormat="false" ht="15" hidden="false" customHeight="false" outlineLevel="0" collapsed="false">
      <c r="A73" s="51"/>
      <c r="B73" s="65"/>
      <c r="C73" s="51"/>
      <c r="D73" s="51"/>
      <c r="E73" s="76"/>
      <c r="F73" s="66" t="str">
        <f aca="false">IF(C73="","",IFERROR(1/(1/INDEX(Clients!$H$6:$H$25,MATCH(C73,Clients!$B$6:$B$25,0))),Settings!$C$10))</f>
        <v/>
      </c>
      <c r="G73" s="77" t="str">
        <f aca="false">IF(OR(B73="",F73=""),"",B73+F73)</f>
        <v/>
      </c>
      <c r="H73" s="65"/>
      <c r="I73" s="76"/>
      <c r="J73" s="51"/>
      <c r="K73" s="73" t="str">
        <f aca="false">IF(E73="","",E73-N(I73))</f>
        <v/>
      </c>
      <c r="L73" s="78" t="str">
        <f aca="true">IF(E73="","",IF(K73&lt;=0,"Paid",IF(AND(G73&lt;&gt;"",TODAY()&gt;G73),"Overdue",IF(N(I73)&gt;0,"Partial","Open"))))</f>
        <v/>
      </c>
      <c r="M73" s="66" t="str">
        <f aca="true">IF(OR(E73="",G73=""),"",IF(K73&lt;=0,IF(H73="","",MAX(0,H73-G73)),MAX(0,TODAY()-G73)))</f>
        <v/>
      </c>
      <c r="N73" s="78" t="str">
        <f aca="true">IF(OR(E73="",G73=""),"",IF(K73&lt;=0,"",IF(TODAY()&lt;=G73,"Not due yet",IF(TODAY()-G73&lt;=30,"1-30 days late",IF(TODAY()-G73&lt;=60,"31-60 days late",IF(TODAY()-G73&lt;=90,"61-90 days late","90+ days late"))))))</f>
        <v/>
      </c>
      <c r="O73" s="66" t="str">
        <f aca="false">IF(OR(H73="",B73="",K73&gt;0),"",H73-B73)</f>
        <v/>
      </c>
    </row>
    <row r="74" customFormat="false" ht="15" hidden="false" customHeight="false" outlineLevel="0" collapsed="false">
      <c r="A74" s="51"/>
      <c r="B74" s="65"/>
      <c r="C74" s="51"/>
      <c r="D74" s="51"/>
      <c r="E74" s="76"/>
      <c r="F74" s="66" t="str">
        <f aca="false">IF(C74="","",IFERROR(1/(1/INDEX(Clients!$H$6:$H$25,MATCH(C74,Clients!$B$6:$B$25,0))),Settings!$C$10))</f>
        <v/>
      </c>
      <c r="G74" s="77" t="str">
        <f aca="false">IF(OR(B74="",F74=""),"",B74+F74)</f>
        <v/>
      </c>
      <c r="H74" s="65"/>
      <c r="I74" s="76"/>
      <c r="J74" s="51"/>
      <c r="K74" s="73" t="str">
        <f aca="false">IF(E74="","",E74-N(I74))</f>
        <v/>
      </c>
      <c r="L74" s="78" t="str">
        <f aca="true">IF(E74="","",IF(K74&lt;=0,"Paid",IF(AND(G74&lt;&gt;"",TODAY()&gt;G74),"Overdue",IF(N(I74)&gt;0,"Partial","Open"))))</f>
        <v/>
      </c>
      <c r="M74" s="66" t="str">
        <f aca="true">IF(OR(E74="",G74=""),"",IF(K74&lt;=0,IF(H74="","",MAX(0,H74-G74)),MAX(0,TODAY()-G74)))</f>
        <v/>
      </c>
      <c r="N74" s="78" t="str">
        <f aca="true">IF(OR(E74="",G74=""),"",IF(K74&lt;=0,"",IF(TODAY()&lt;=G74,"Not due yet",IF(TODAY()-G74&lt;=30,"1-30 days late",IF(TODAY()-G74&lt;=60,"31-60 days late",IF(TODAY()-G74&lt;=90,"61-90 days late","90+ days late"))))))</f>
        <v/>
      </c>
      <c r="O74" s="66" t="str">
        <f aca="false">IF(OR(H74="",B74="",K74&gt;0),"",H74-B74)</f>
        <v/>
      </c>
    </row>
    <row r="75" customFormat="false" ht="15" hidden="false" customHeight="false" outlineLevel="0" collapsed="false">
      <c r="A75" s="51"/>
      <c r="B75" s="65"/>
      <c r="C75" s="51"/>
      <c r="D75" s="51"/>
      <c r="E75" s="76"/>
      <c r="F75" s="66" t="str">
        <f aca="false">IF(C75="","",IFERROR(1/(1/INDEX(Clients!$H$6:$H$25,MATCH(C75,Clients!$B$6:$B$25,0))),Settings!$C$10))</f>
        <v/>
      </c>
      <c r="G75" s="77" t="str">
        <f aca="false">IF(OR(B75="",F75=""),"",B75+F75)</f>
        <v/>
      </c>
      <c r="H75" s="65"/>
      <c r="I75" s="76"/>
      <c r="J75" s="51"/>
      <c r="K75" s="73" t="str">
        <f aca="false">IF(E75="","",E75-N(I75))</f>
        <v/>
      </c>
      <c r="L75" s="78" t="str">
        <f aca="true">IF(E75="","",IF(K75&lt;=0,"Paid",IF(AND(G75&lt;&gt;"",TODAY()&gt;G75),"Overdue",IF(N(I75)&gt;0,"Partial","Open"))))</f>
        <v/>
      </c>
      <c r="M75" s="66" t="str">
        <f aca="true">IF(OR(E75="",G75=""),"",IF(K75&lt;=0,IF(H75="","",MAX(0,H75-G75)),MAX(0,TODAY()-G75)))</f>
        <v/>
      </c>
      <c r="N75" s="78" t="str">
        <f aca="true">IF(OR(E75="",G75=""),"",IF(K75&lt;=0,"",IF(TODAY()&lt;=G75,"Not due yet",IF(TODAY()-G75&lt;=30,"1-30 days late",IF(TODAY()-G75&lt;=60,"31-60 days late",IF(TODAY()-G75&lt;=90,"61-90 days late","90+ days late"))))))</f>
        <v/>
      </c>
      <c r="O75" s="66" t="str">
        <f aca="false">IF(OR(H75="",B75="",K75&gt;0),"",H75-B75)</f>
        <v/>
      </c>
    </row>
    <row r="76" customFormat="false" ht="15" hidden="false" customHeight="false" outlineLevel="0" collapsed="false">
      <c r="A76" s="51"/>
      <c r="B76" s="65"/>
      <c r="C76" s="51"/>
      <c r="D76" s="51"/>
      <c r="E76" s="76"/>
      <c r="F76" s="66" t="str">
        <f aca="false">IF(C76="","",IFERROR(1/(1/INDEX(Clients!$H$6:$H$25,MATCH(C76,Clients!$B$6:$B$25,0))),Settings!$C$10))</f>
        <v/>
      </c>
      <c r="G76" s="77" t="str">
        <f aca="false">IF(OR(B76="",F76=""),"",B76+F76)</f>
        <v/>
      </c>
      <c r="H76" s="65"/>
      <c r="I76" s="76"/>
      <c r="J76" s="51"/>
      <c r="K76" s="73" t="str">
        <f aca="false">IF(E76="","",E76-N(I76))</f>
        <v/>
      </c>
      <c r="L76" s="78" t="str">
        <f aca="true">IF(E76="","",IF(K76&lt;=0,"Paid",IF(AND(G76&lt;&gt;"",TODAY()&gt;G76),"Overdue",IF(N(I76)&gt;0,"Partial","Open"))))</f>
        <v/>
      </c>
      <c r="M76" s="66" t="str">
        <f aca="true">IF(OR(E76="",G76=""),"",IF(K76&lt;=0,IF(H76="","",MAX(0,H76-G76)),MAX(0,TODAY()-G76)))</f>
        <v/>
      </c>
      <c r="N76" s="78" t="str">
        <f aca="true">IF(OR(E76="",G76=""),"",IF(K76&lt;=0,"",IF(TODAY()&lt;=G76,"Not due yet",IF(TODAY()-G76&lt;=30,"1-30 days late",IF(TODAY()-G76&lt;=60,"31-60 days late",IF(TODAY()-G76&lt;=90,"61-90 days late","90+ days late"))))))</f>
        <v/>
      </c>
      <c r="O76" s="66" t="str">
        <f aca="false">IF(OR(H76="",B76="",K76&gt;0),"",H76-B76)</f>
        <v/>
      </c>
    </row>
    <row r="77" customFormat="false" ht="15" hidden="false" customHeight="false" outlineLevel="0" collapsed="false">
      <c r="A77" s="51"/>
      <c r="B77" s="65"/>
      <c r="C77" s="51"/>
      <c r="D77" s="51"/>
      <c r="E77" s="76"/>
      <c r="F77" s="66" t="str">
        <f aca="false">IF(C77="","",IFERROR(1/(1/INDEX(Clients!$H$6:$H$25,MATCH(C77,Clients!$B$6:$B$25,0))),Settings!$C$10))</f>
        <v/>
      </c>
      <c r="G77" s="77" t="str">
        <f aca="false">IF(OR(B77="",F77=""),"",B77+F77)</f>
        <v/>
      </c>
      <c r="H77" s="65"/>
      <c r="I77" s="76"/>
      <c r="J77" s="51"/>
      <c r="K77" s="73" t="str">
        <f aca="false">IF(E77="","",E77-N(I77))</f>
        <v/>
      </c>
      <c r="L77" s="78" t="str">
        <f aca="true">IF(E77="","",IF(K77&lt;=0,"Paid",IF(AND(G77&lt;&gt;"",TODAY()&gt;G77),"Overdue",IF(N(I77)&gt;0,"Partial","Open"))))</f>
        <v/>
      </c>
      <c r="M77" s="66" t="str">
        <f aca="true">IF(OR(E77="",G77=""),"",IF(K77&lt;=0,IF(H77="","",MAX(0,H77-G77)),MAX(0,TODAY()-G77)))</f>
        <v/>
      </c>
      <c r="N77" s="78" t="str">
        <f aca="true">IF(OR(E77="",G77=""),"",IF(K77&lt;=0,"",IF(TODAY()&lt;=G77,"Not due yet",IF(TODAY()-G77&lt;=30,"1-30 days late",IF(TODAY()-G77&lt;=60,"31-60 days late",IF(TODAY()-G77&lt;=90,"61-90 days late","90+ days late"))))))</f>
        <v/>
      </c>
      <c r="O77" s="66" t="str">
        <f aca="false">IF(OR(H77="",B77="",K77&gt;0),"",H77-B77)</f>
        <v/>
      </c>
    </row>
    <row r="78" customFormat="false" ht="15" hidden="false" customHeight="false" outlineLevel="0" collapsed="false">
      <c r="A78" s="51"/>
      <c r="B78" s="65"/>
      <c r="C78" s="51"/>
      <c r="D78" s="51"/>
      <c r="E78" s="76"/>
      <c r="F78" s="66" t="str">
        <f aca="false">IF(C78="","",IFERROR(1/(1/INDEX(Clients!$H$6:$H$25,MATCH(C78,Clients!$B$6:$B$25,0))),Settings!$C$10))</f>
        <v/>
      </c>
      <c r="G78" s="77" t="str">
        <f aca="false">IF(OR(B78="",F78=""),"",B78+F78)</f>
        <v/>
      </c>
      <c r="H78" s="65"/>
      <c r="I78" s="76"/>
      <c r="J78" s="51"/>
      <c r="K78" s="73" t="str">
        <f aca="false">IF(E78="","",E78-N(I78))</f>
        <v/>
      </c>
      <c r="L78" s="78" t="str">
        <f aca="true">IF(E78="","",IF(K78&lt;=0,"Paid",IF(AND(G78&lt;&gt;"",TODAY()&gt;G78),"Overdue",IF(N(I78)&gt;0,"Partial","Open"))))</f>
        <v/>
      </c>
      <c r="M78" s="66" t="str">
        <f aca="true">IF(OR(E78="",G78=""),"",IF(K78&lt;=0,IF(H78="","",MAX(0,H78-G78)),MAX(0,TODAY()-G78)))</f>
        <v/>
      </c>
      <c r="N78" s="78" t="str">
        <f aca="true">IF(OR(E78="",G78=""),"",IF(K78&lt;=0,"",IF(TODAY()&lt;=G78,"Not due yet",IF(TODAY()-G78&lt;=30,"1-30 days late",IF(TODAY()-G78&lt;=60,"31-60 days late",IF(TODAY()-G78&lt;=90,"61-90 days late","90+ days late"))))))</f>
        <v/>
      </c>
      <c r="O78" s="66" t="str">
        <f aca="false">IF(OR(H78="",B78="",K78&gt;0),"",H78-B78)</f>
        <v/>
      </c>
    </row>
    <row r="79" customFormat="false" ht="15" hidden="false" customHeight="false" outlineLevel="0" collapsed="false">
      <c r="A79" s="51"/>
      <c r="B79" s="65"/>
      <c r="C79" s="51"/>
      <c r="D79" s="51"/>
      <c r="E79" s="76"/>
      <c r="F79" s="66" t="str">
        <f aca="false">IF(C79="","",IFERROR(1/(1/INDEX(Clients!$H$6:$H$25,MATCH(C79,Clients!$B$6:$B$25,0))),Settings!$C$10))</f>
        <v/>
      </c>
      <c r="G79" s="77" t="str">
        <f aca="false">IF(OR(B79="",F79=""),"",B79+F79)</f>
        <v/>
      </c>
      <c r="H79" s="65"/>
      <c r="I79" s="76"/>
      <c r="J79" s="51"/>
      <c r="K79" s="73" t="str">
        <f aca="false">IF(E79="","",E79-N(I79))</f>
        <v/>
      </c>
      <c r="L79" s="78" t="str">
        <f aca="true">IF(E79="","",IF(K79&lt;=0,"Paid",IF(AND(G79&lt;&gt;"",TODAY()&gt;G79),"Overdue",IF(N(I79)&gt;0,"Partial","Open"))))</f>
        <v/>
      </c>
      <c r="M79" s="66" t="str">
        <f aca="true">IF(OR(E79="",G79=""),"",IF(K79&lt;=0,IF(H79="","",MAX(0,H79-G79)),MAX(0,TODAY()-G79)))</f>
        <v/>
      </c>
      <c r="N79" s="78" t="str">
        <f aca="true">IF(OR(E79="",G79=""),"",IF(K79&lt;=0,"",IF(TODAY()&lt;=G79,"Not due yet",IF(TODAY()-G79&lt;=30,"1-30 days late",IF(TODAY()-G79&lt;=60,"31-60 days late",IF(TODAY()-G79&lt;=90,"61-90 days late","90+ days late"))))))</f>
        <v/>
      </c>
      <c r="O79" s="66" t="str">
        <f aca="false">IF(OR(H79="",B79="",K79&gt;0),"",H79-B79)</f>
        <v/>
      </c>
    </row>
    <row r="80" customFormat="false" ht="15" hidden="false" customHeight="false" outlineLevel="0" collapsed="false">
      <c r="A80" s="51"/>
      <c r="B80" s="65"/>
      <c r="C80" s="51"/>
      <c r="D80" s="51"/>
      <c r="E80" s="76"/>
      <c r="F80" s="66" t="str">
        <f aca="false">IF(C80="","",IFERROR(1/(1/INDEX(Clients!$H$6:$H$25,MATCH(C80,Clients!$B$6:$B$25,0))),Settings!$C$10))</f>
        <v/>
      </c>
      <c r="G80" s="77" t="str">
        <f aca="false">IF(OR(B80="",F80=""),"",B80+F80)</f>
        <v/>
      </c>
      <c r="H80" s="65"/>
      <c r="I80" s="76"/>
      <c r="J80" s="51"/>
      <c r="K80" s="73" t="str">
        <f aca="false">IF(E80="","",E80-N(I80))</f>
        <v/>
      </c>
      <c r="L80" s="78" t="str">
        <f aca="true">IF(E80="","",IF(K80&lt;=0,"Paid",IF(AND(G80&lt;&gt;"",TODAY()&gt;G80),"Overdue",IF(N(I80)&gt;0,"Partial","Open"))))</f>
        <v/>
      </c>
      <c r="M80" s="66" t="str">
        <f aca="true">IF(OR(E80="",G80=""),"",IF(K80&lt;=0,IF(H80="","",MAX(0,H80-G80)),MAX(0,TODAY()-G80)))</f>
        <v/>
      </c>
      <c r="N80" s="78" t="str">
        <f aca="true">IF(OR(E80="",G80=""),"",IF(K80&lt;=0,"",IF(TODAY()&lt;=G80,"Not due yet",IF(TODAY()-G80&lt;=30,"1-30 days late",IF(TODAY()-G80&lt;=60,"31-60 days late",IF(TODAY()-G80&lt;=90,"61-90 days late","90+ days late"))))))</f>
        <v/>
      </c>
      <c r="O80" s="66" t="str">
        <f aca="false">IF(OR(H80="",B80="",K80&gt;0),"",H80-B80)</f>
        <v/>
      </c>
    </row>
    <row r="81" customFormat="false" ht="15" hidden="false" customHeight="false" outlineLevel="0" collapsed="false">
      <c r="A81" s="51"/>
      <c r="B81" s="65"/>
      <c r="C81" s="51"/>
      <c r="D81" s="51"/>
      <c r="E81" s="76"/>
      <c r="F81" s="66" t="str">
        <f aca="false">IF(C81="","",IFERROR(1/(1/INDEX(Clients!$H$6:$H$25,MATCH(C81,Clients!$B$6:$B$25,0))),Settings!$C$10))</f>
        <v/>
      </c>
      <c r="G81" s="77" t="str">
        <f aca="false">IF(OR(B81="",F81=""),"",B81+F81)</f>
        <v/>
      </c>
      <c r="H81" s="65"/>
      <c r="I81" s="76"/>
      <c r="J81" s="51"/>
      <c r="K81" s="73" t="str">
        <f aca="false">IF(E81="","",E81-N(I81))</f>
        <v/>
      </c>
      <c r="L81" s="78" t="str">
        <f aca="true">IF(E81="","",IF(K81&lt;=0,"Paid",IF(AND(G81&lt;&gt;"",TODAY()&gt;G81),"Overdue",IF(N(I81)&gt;0,"Partial","Open"))))</f>
        <v/>
      </c>
      <c r="M81" s="66" t="str">
        <f aca="true">IF(OR(E81="",G81=""),"",IF(K81&lt;=0,IF(H81="","",MAX(0,H81-G81)),MAX(0,TODAY()-G81)))</f>
        <v/>
      </c>
      <c r="N81" s="78" t="str">
        <f aca="true">IF(OR(E81="",G81=""),"",IF(K81&lt;=0,"",IF(TODAY()&lt;=G81,"Not due yet",IF(TODAY()-G81&lt;=30,"1-30 days late",IF(TODAY()-G81&lt;=60,"31-60 days late",IF(TODAY()-G81&lt;=90,"61-90 days late","90+ days late"))))))</f>
        <v/>
      </c>
      <c r="O81" s="66" t="str">
        <f aca="false">IF(OR(H81="",B81="",K81&gt;0),"",H81-B81)</f>
        <v/>
      </c>
    </row>
    <row r="82" customFormat="false" ht="15" hidden="false" customHeight="false" outlineLevel="0" collapsed="false">
      <c r="A82" s="51"/>
      <c r="B82" s="65"/>
      <c r="C82" s="51"/>
      <c r="D82" s="51"/>
      <c r="E82" s="76"/>
      <c r="F82" s="66" t="str">
        <f aca="false">IF(C82="","",IFERROR(1/(1/INDEX(Clients!$H$6:$H$25,MATCH(C82,Clients!$B$6:$B$25,0))),Settings!$C$10))</f>
        <v/>
      </c>
      <c r="G82" s="77" t="str">
        <f aca="false">IF(OR(B82="",F82=""),"",B82+F82)</f>
        <v/>
      </c>
      <c r="H82" s="65"/>
      <c r="I82" s="76"/>
      <c r="J82" s="51"/>
      <c r="K82" s="73" t="str">
        <f aca="false">IF(E82="","",E82-N(I82))</f>
        <v/>
      </c>
      <c r="L82" s="78" t="str">
        <f aca="true">IF(E82="","",IF(K82&lt;=0,"Paid",IF(AND(G82&lt;&gt;"",TODAY()&gt;G82),"Overdue",IF(N(I82)&gt;0,"Partial","Open"))))</f>
        <v/>
      </c>
      <c r="M82" s="66" t="str">
        <f aca="true">IF(OR(E82="",G82=""),"",IF(K82&lt;=0,IF(H82="","",MAX(0,H82-G82)),MAX(0,TODAY()-G82)))</f>
        <v/>
      </c>
      <c r="N82" s="78" t="str">
        <f aca="true">IF(OR(E82="",G82=""),"",IF(K82&lt;=0,"",IF(TODAY()&lt;=G82,"Not due yet",IF(TODAY()-G82&lt;=30,"1-30 days late",IF(TODAY()-G82&lt;=60,"31-60 days late",IF(TODAY()-G82&lt;=90,"61-90 days late","90+ days late"))))))</f>
        <v/>
      </c>
      <c r="O82" s="66" t="str">
        <f aca="false">IF(OR(H82="",B82="",K82&gt;0),"",H82-B82)</f>
        <v/>
      </c>
    </row>
    <row r="83" customFormat="false" ht="15" hidden="false" customHeight="false" outlineLevel="0" collapsed="false">
      <c r="A83" s="51"/>
      <c r="B83" s="65"/>
      <c r="C83" s="51"/>
      <c r="D83" s="51"/>
      <c r="E83" s="76"/>
      <c r="F83" s="66" t="str">
        <f aca="false">IF(C83="","",IFERROR(1/(1/INDEX(Clients!$H$6:$H$25,MATCH(C83,Clients!$B$6:$B$25,0))),Settings!$C$10))</f>
        <v/>
      </c>
      <c r="G83" s="77" t="str">
        <f aca="false">IF(OR(B83="",F83=""),"",B83+F83)</f>
        <v/>
      </c>
      <c r="H83" s="65"/>
      <c r="I83" s="76"/>
      <c r="J83" s="51"/>
      <c r="K83" s="73" t="str">
        <f aca="false">IF(E83="","",E83-N(I83))</f>
        <v/>
      </c>
      <c r="L83" s="78" t="str">
        <f aca="true">IF(E83="","",IF(K83&lt;=0,"Paid",IF(AND(G83&lt;&gt;"",TODAY()&gt;G83),"Overdue",IF(N(I83)&gt;0,"Partial","Open"))))</f>
        <v/>
      </c>
      <c r="M83" s="66" t="str">
        <f aca="true">IF(OR(E83="",G83=""),"",IF(K83&lt;=0,IF(H83="","",MAX(0,H83-G83)),MAX(0,TODAY()-G83)))</f>
        <v/>
      </c>
      <c r="N83" s="78" t="str">
        <f aca="true">IF(OR(E83="",G83=""),"",IF(K83&lt;=0,"",IF(TODAY()&lt;=G83,"Not due yet",IF(TODAY()-G83&lt;=30,"1-30 days late",IF(TODAY()-G83&lt;=60,"31-60 days late",IF(TODAY()-G83&lt;=90,"61-90 days late","90+ days late"))))))</f>
        <v/>
      </c>
      <c r="O83" s="66" t="str">
        <f aca="false">IF(OR(H83="",B83="",K83&gt;0),"",H83-B83)</f>
        <v/>
      </c>
    </row>
    <row r="84" customFormat="false" ht="15" hidden="false" customHeight="false" outlineLevel="0" collapsed="false">
      <c r="A84" s="51"/>
      <c r="B84" s="65"/>
      <c r="C84" s="51"/>
      <c r="D84" s="51"/>
      <c r="E84" s="76"/>
      <c r="F84" s="66" t="str">
        <f aca="false">IF(C84="","",IFERROR(1/(1/INDEX(Clients!$H$6:$H$25,MATCH(C84,Clients!$B$6:$B$25,0))),Settings!$C$10))</f>
        <v/>
      </c>
      <c r="G84" s="77" t="str">
        <f aca="false">IF(OR(B84="",F84=""),"",B84+F84)</f>
        <v/>
      </c>
      <c r="H84" s="65"/>
      <c r="I84" s="76"/>
      <c r="J84" s="51"/>
      <c r="K84" s="73" t="str">
        <f aca="false">IF(E84="","",E84-N(I84))</f>
        <v/>
      </c>
      <c r="L84" s="78" t="str">
        <f aca="true">IF(E84="","",IF(K84&lt;=0,"Paid",IF(AND(G84&lt;&gt;"",TODAY()&gt;G84),"Overdue",IF(N(I84)&gt;0,"Partial","Open"))))</f>
        <v/>
      </c>
      <c r="M84" s="66" t="str">
        <f aca="true">IF(OR(E84="",G84=""),"",IF(K84&lt;=0,IF(H84="","",MAX(0,H84-G84)),MAX(0,TODAY()-G84)))</f>
        <v/>
      </c>
      <c r="N84" s="78" t="str">
        <f aca="true">IF(OR(E84="",G84=""),"",IF(K84&lt;=0,"",IF(TODAY()&lt;=G84,"Not due yet",IF(TODAY()-G84&lt;=30,"1-30 days late",IF(TODAY()-G84&lt;=60,"31-60 days late",IF(TODAY()-G84&lt;=90,"61-90 days late","90+ days late"))))))</f>
        <v/>
      </c>
      <c r="O84" s="66" t="str">
        <f aca="false">IF(OR(H84="",B84="",K84&gt;0),"",H84-B84)</f>
        <v/>
      </c>
    </row>
    <row r="85" customFormat="false" ht="15" hidden="false" customHeight="false" outlineLevel="0" collapsed="false">
      <c r="A85" s="51"/>
      <c r="B85" s="65"/>
      <c r="C85" s="51"/>
      <c r="D85" s="51"/>
      <c r="E85" s="76"/>
      <c r="F85" s="66" t="str">
        <f aca="false">IF(C85="","",IFERROR(1/(1/INDEX(Clients!$H$6:$H$25,MATCH(C85,Clients!$B$6:$B$25,0))),Settings!$C$10))</f>
        <v/>
      </c>
      <c r="G85" s="77" t="str">
        <f aca="false">IF(OR(B85="",F85=""),"",B85+F85)</f>
        <v/>
      </c>
      <c r="H85" s="65"/>
      <c r="I85" s="76"/>
      <c r="J85" s="51"/>
      <c r="K85" s="73" t="str">
        <f aca="false">IF(E85="","",E85-N(I85))</f>
        <v/>
      </c>
      <c r="L85" s="78" t="str">
        <f aca="true">IF(E85="","",IF(K85&lt;=0,"Paid",IF(AND(G85&lt;&gt;"",TODAY()&gt;G85),"Overdue",IF(N(I85)&gt;0,"Partial","Open"))))</f>
        <v/>
      </c>
      <c r="M85" s="66" t="str">
        <f aca="true">IF(OR(E85="",G85=""),"",IF(K85&lt;=0,IF(H85="","",MAX(0,H85-G85)),MAX(0,TODAY()-G85)))</f>
        <v/>
      </c>
      <c r="N85" s="78" t="str">
        <f aca="true">IF(OR(E85="",G85=""),"",IF(K85&lt;=0,"",IF(TODAY()&lt;=G85,"Not due yet",IF(TODAY()-G85&lt;=30,"1-30 days late",IF(TODAY()-G85&lt;=60,"31-60 days late",IF(TODAY()-G85&lt;=90,"61-90 days late","90+ days late"))))))</f>
        <v/>
      </c>
      <c r="O85" s="66" t="str">
        <f aca="false">IF(OR(H85="",B85="",K85&gt;0),"",H85-B85)</f>
        <v/>
      </c>
    </row>
    <row r="86" customFormat="false" ht="15" hidden="false" customHeight="false" outlineLevel="0" collapsed="false">
      <c r="A86" s="51"/>
      <c r="B86" s="65"/>
      <c r="C86" s="51"/>
      <c r="D86" s="51"/>
      <c r="E86" s="76"/>
      <c r="F86" s="66" t="str">
        <f aca="false">IF(C86="","",IFERROR(1/(1/INDEX(Clients!$H$6:$H$25,MATCH(C86,Clients!$B$6:$B$25,0))),Settings!$C$10))</f>
        <v/>
      </c>
      <c r="G86" s="77" t="str">
        <f aca="false">IF(OR(B86="",F86=""),"",B86+F86)</f>
        <v/>
      </c>
      <c r="H86" s="65"/>
      <c r="I86" s="76"/>
      <c r="J86" s="51"/>
      <c r="K86" s="73" t="str">
        <f aca="false">IF(E86="","",E86-N(I86))</f>
        <v/>
      </c>
      <c r="L86" s="78" t="str">
        <f aca="true">IF(E86="","",IF(K86&lt;=0,"Paid",IF(AND(G86&lt;&gt;"",TODAY()&gt;G86),"Overdue",IF(N(I86)&gt;0,"Partial","Open"))))</f>
        <v/>
      </c>
      <c r="M86" s="66" t="str">
        <f aca="true">IF(OR(E86="",G86=""),"",IF(K86&lt;=0,IF(H86="","",MAX(0,H86-G86)),MAX(0,TODAY()-G86)))</f>
        <v/>
      </c>
      <c r="N86" s="78" t="str">
        <f aca="true">IF(OR(E86="",G86=""),"",IF(K86&lt;=0,"",IF(TODAY()&lt;=G86,"Not due yet",IF(TODAY()-G86&lt;=30,"1-30 days late",IF(TODAY()-G86&lt;=60,"31-60 days late",IF(TODAY()-G86&lt;=90,"61-90 days late","90+ days late"))))))</f>
        <v/>
      </c>
      <c r="O86" s="66" t="str">
        <f aca="false">IF(OR(H86="",B86="",K86&gt;0),"",H86-B86)</f>
        <v/>
      </c>
    </row>
    <row r="87" customFormat="false" ht="15" hidden="false" customHeight="false" outlineLevel="0" collapsed="false">
      <c r="A87" s="51"/>
      <c r="B87" s="65"/>
      <c r="C87" s="51"/>
      <c r="D87" s="51"/>
      <c r="E87" s="76"/>
      <c r="F87" s="66" t="str">
        <f aca="false">IF(C87="","",IFERROR(1/(1/INDEX(Clients!$H$6:$H$25,MATCH(C87,Clients!$B$6:$B$25,0))),Settings!$C$10))</f>
        <v/>
      </c>
      <c r="G87" s="77" t="str">
        <f aca="false">IF(OR(B87="",F87=""),"",B87+F87)</f>
        <v/>
      </c>
      <c r="H87" s="65"/>
      <c r="I87" s="76"/>
      <c r="J87" s="51"/>
      <c r="K87" s="73" t="str">
        <f aca="false">IF(E87="","",E87-N(I87))</f>
        <v/>
      </c>
      <c r="L87" s="78" t="str">
        <f aca="true">IF(E87="","",IF(K87&lt;=0,"Paid",IF(AND(G87&lt;&gt;"",TODAY()&gt;G87),"Overdue",IF(N(I87)&gt;0,"Partial","Open"))))</f>
        <v/>
      </c>
      <c r="M87" s="66" t="str">
        <f aca="true">IF(OR(E87="",G87=""),"",IF(K87&lt;=0,IF(H87="","",MAX(0,H87-G87)),MAX(0,TODAY()-G87)))</f>
        <v/>
      </c>
      <c r="N87" s="78" t="str">
        <f aca="true">IF(OR(E87="",G87=""),"",IF(K87&lt;=0,"",IF(TODAY()&lt;=G87,"Not due yet",IF(TODAY()-G87&lt;=30,"1-30 days late",IF(TODAY()-G87&lt;=60,"31-60 days late",IF(TODAY()-G87&lt;=90,"61-90 days late","90+ days late"))))))</f>
        <v/>
      </c>
      <c r="O87" s="66" t="str">
        <f aca="false">IF(OR(H87="",B87="",K87&gt;0),"",H87-B87)</f>
        <v/>
      </c>
    </row>
    <row r="88" customFormat="false" ht="15" hidden="false" customHeight="false" outlineLevel="0" collapsed="false">
      <c r="A88" s="51"/>
      <c r="B88" s="65"/>
      <c r="C88" s="51"/>
      <c r="D88" s="51"/>
      <c r="E88" s="76"/>
      <c r="F88" s="66" t="str">
        <f aca="false">IF(C88="","",IFERROR(1/(1/INDEX(Clients!$H$6:$H$25,MATCH(C88,Clients!$B$6:$B$25,0))),Settings!$C$10))</f>
        <v/>
      </c>
      <c r="G88" s="77" t="str">
        <f aca="false">IF(OR(B88="",F88=""),"",B88+F88)</f>
        <v/>
      </c>
      <c r="H88" s="65"/>
      <c r="I88" s="76"/>
      <c r="J88" s="51"/>
      <c r="K88" s="73" t="str">
        <f aca="false">IF(E88="","",E88-N(I88))</f>
        <v/>
      </c>
      <c r="L88" s="78" t="str">
        <f aca="true">IF(E88="","",IF(K88&lt;=0,"Paid",IF(AND(G88&lt;&gt;"",TODAY()&gt;G88),"Overdue",IF(N(I88)&gt;0,"Partial","Open"))))</f>
        <v/>
      </c>
      <c r="M88" s="66" t="str">
        <f aca="true">IF(OR(E88="",G88=""),"",IF(K88&lt;=0,IF(H88="","",MAX(0,H88-G88)),MAX(0,TODAY()-G88)))</f>
        <v/>
      </c>
      <c r="N88" s="78" t="str">
        <f aca="true">IF(OR(E88="",G88=""),"",IF(K88&lt;=0,"",IF(TODAY()&lt;=G88,"Not due yet",IF(TODAY()-G88&lt;=30,"1-30 days late",IF(TODAY()-G88&lt;=60,"31-60 days late",IF(TODAY()-G88&lt;=90,"61-90 days late","90+ days late"))))))</f>
        <v/>
      </c>
      <c r="O88" s="66" t="str">
        <f aca="false">IF(OR(H88="",B88="",K88&gt;0),"",H88-B88)</f>
        <v/>
      </c>
    </row>
    <row r="89" customFormat="false" ht="15" hidden="false" customHeight="false" outlineLevel="0" collapsed="false">
      <c r="A89" s="51"/>
      <c r="B89" s="65"/>
      <c r="C89" s="51"/>
      <c r="D89" s="51"/>
      <c r="E89" s="76"/>
      <c r="F89" s="66" t="str">
        <f aca="false">IF(C89="","",IFERROR(1/(1/INDEX(Clients!$H$6:$H$25,MATCH(C89,Clients!$B$6:$B$25,0))),Settings!$C$10))</f>
        <v/>
      </c>
      <c r="G89" s="77" t="str">
        <f aca="false">IF(OR(B89="",F89=""),"",B89+F89)</f>
        <v/>
      </c>
      <c r="H89" s="65"/>
      <c r="I89" s="76"/>
      <c r="J89" s="51"/>
      <c r="K89" s="73" t="str">
        <f aca="false">IF(E89="","",E89-N(I89))</f>
        <v/>
      </c>
      <c r="L89" s="78" t="str">
        <f aca="true">IF(E89="","",IF(K89&lt;=0,"Paid",IF(AND(G89&lt;&gt;"",TODAY()&gt;G89),"Overdue",IF(N(I89)&gt;0,"Partial","Open"))))</f>
        <v/>
      </c>
      <c r="M89" s="66" t="str">
        <f aca="true">IF(OR(E89="",G89=""),"",IF(K89&lt;=0,IF(H89="","",MAX(0,H89-G89)),MAX(0,TODAY()-G89)))</f>
        <v/>
      </c>
      <c r="N89" s="78" t="str">
        <f aca="true">IF(OR(E89="",G89=""),"",IF(K89&lt;=0,"",IF(TODAY()&lt;=G89,"Not due yet",IF(TODAY()-G89&lt;=30,"1-30 days late",IF(TODAY()-G89&lt;=60,"31-60 days late",IF(TODAY()-G89&lt;=90,"61-90 days late","90+ days late"))))))</f>
        <v/>
      </c>
      <c r="O89" s="66" t="str">
        <f aca="false">IF(OR(H89="",B89="",K89&gt;0),"",H89-B89)</f>
        <v/>
      </c>
    </row>
    <row r="90" customFormat="false" ht="15" hidden="false" customHeight="false" outlineLevel="0" collapsed="false">
      <c r="A90" s="51"/>
      <c r="B90" s="65"/>
      <c r="C90" s="51"/>
      <c r="D90" s="51"/>
      <c r="E90" s="76"/>
      <c r="F90" s="66" t="str">
        <f aca="false">IF(C90="","",IFERROR(1/(1/INDEX(Clients!$H$6:$H$25,MATCH(C90,Clients!$B$6:$B$25,0))),Settings!$C$10))</f>
        <v/>
      </c>
      <c r="G90" s="77" t="str">
        <f aca="false">IF(OR(B90="",F90=""),"",B90+F90)</f>
        <v/>
      </c>
      <c r="H90" s="65"/>
      <c r="I90" s="76"/>
      <c r="J90" s="51"/>
      <c r="K90" s="73" t="str">
        <f aca="false">IF(E90="","",E90-N(I90))</f>
        <v/>
      </c>
      <c r="L90" s="78" t="str">
        <f aca="true">IF(E90="","",IF(K90&lt;=0,"Paid",IF(AND(G90&lt;&gt;"",TODAY()&gt;G90),"Overdue",IF(N(I90)&gt;0,"Partial","Open"))))</f>
        <v/>
      </c>
      <c r="M90" s="66" t="str">
        <f aca="true">IF(OR(E90="",G90=""),"",IF(K90&lt;=0,IF(H90="","",MAX(0,H90-G90)),MAX(0,TODAY()-G90)))</f>
        <v/>
      </c>
      <c r="N90" s="78" t="str">
        <f aca="true">IF(OR(E90="",G90=""),"",IF(K90&lt;=0,"",IF(TODAY()&lt;=G90,"Not due yet",IF(TODAY()-G90&lt;=30,"1-30 days late",IF(TODAY()-G90&lt;=60,"31-60 days late",IF(TODAY()-G90&lt;=90,"61-90 days late","90+ days late"))))))</f>
        <v/>
      </c>
      <c r="O90" s="66" t="str">
        <f aca="false">IF(OR(H90="",B90="",K90&gt;0),"",H90-B90)</f>
        <v/>
      </c>
    </row>
    <row r="91" customFormat="false" ht="15" hidden="false" customHeight="false" outlineLevel="0" collapsed="false">
      <c r="A91" s="51"/>
      <c r="B91" s="65"/>
      <c r="C91" s="51"/>
      <c r="D91" s="51"/>
      <c r="E91" s="76"/>
      <c r="F91" s="66" t="str">
        <f aca="false">IF(C91="","",IFERROR(1/(1/INDEX(Clients!$H$6:$H$25,MATCH(C91,Clients!$B$6:$B$25,0))),Settings!$C$10))</f>
        <v/>
      </c>
      <c r="G91" s="77" t="str">
        <f aca="false">IF(OR(B91="",F91=""),"",B91+F91)</f>
        <v/>
      </c>
      <c r="H91" s="65"/>
      <c r="I91" s="76"/>
      <c r="J91" s="51"/>
      <c r="K91" s="73" t="str">
        <f aca="false">IF(E91="","",E91-N(I91))</f>
        <v/>
      </c>
      <c r="L91" s="78" t="str">
        <f aca="true">IF(E91="","",IF(K91&lt;=0,"Paid",IF(AND(G91&lt;&gt;"",TODAY()&gt;G91),"Overdue",IF(N(I91)&gt;0,"Partial","Open"))))</f>
        <v/>
      </c>
      <c r="M91" s="66" t="str">
        <f aca="true">IF(OR(E91="",G91=""),"",IF(K91&lt;=0,IF(H91="","",MAX(0,H91-G91)),MAX(0,TODAY()-G91)))</f>
        <v/>
      </c>
      <c r="N91" s="78" t="str">
        <f aca="true">IF(OR(E91="",G91=""),"",IF(K91&lt;=0,"",IF(TODAY()&lt;=G91,"Not due yet",IF(TODAY()-G91&lt;=30,"1-30 days late",IF(TODAY()-G91&lt;=60,"31-60 days late",IF(TODAY()-G91&lt;=90,"61-90 days late","90+ days late"))))))</f>
        <v/>
      </c>
      <c r="O91" s="66" t="str">
        <f aca="false">IF(OR(H91="",B91="",K91&gt;0),"",H91-B91)</f>
        <v/>
      </c>
    </row>
    <row r="92" customFormat="false" ht="15" hidden="false" customHeight="false" outlineLevel="0" collapsed="false">
      <c r="A92" s="51"/>
      <c r="B92" s="65"/>
      <c r="C92" s="51"/>
      <c r="D92" s="51"/>
      <c r="E92" s="76"/>
      <c r="F92" s="66" t="str">
        <f aca="false">IF(C92="","",IFERROR(1/(1/INDEX(Clients!$H$6:$H$25,MATCH(C92,Clients!$B$6:$B$25,0))),Settings!$C$10))</f>
        <v/>
      </c>
      <c r="G92" s="77" t="str">
        <f aca="false">IF(OR(B92="",F92=""),"",B92+F92)</f>
        <v/>
      </c>
      <c r="H92" s="65"/>
      <c r="I92" s="76"/>
      <c r="J92" s="51"/>
      <c r="K92" s="73" t="str">
        <f aca="false">IF(E92="","",E92-N(I92))</f>
        <v/>
      </c>
      <c r="L92" s="78" t="str">
        <f aca="true">IF(E92="","",IF(K92&lt;=0,"Paid",IF(AND(G92&lt;&gt;"",TODAY()&gt;G92),"Overdue",IF(N(I92)&gt;0,"Partial","Open"))))</f>
        <v/>
      </c>
      <c r="M92" s="66" t="str">
        <f aca="true">IF(OR(E92="",G92=""),"",IF(K92&lt;=0,IF(H92="","",MAX(0,H92-G92)),MAX(0,TODAY()-G92)))</f>
        <v/>
      </c>
      <c r="N92" s="78" t="str">
        <f aca="true">IF(OR(E92="",G92=""),"",IF(K92&lt;=0,"",IF(TODAY()&lt;=G92,"Not due yet",IF(TODAY()-G92&lt;=30,"1-30 days late",IF(TODAY()-G92&lt;=60,"31-60 days late",IF(TODAY()-G92&lt;=90,"61-90 days late","90+ days late"))))))</f>
        <v/>
      </c>
      <c r="O92" s="66" t="str">
        <f aca="false">IF(OR(H92="",B92="",K92&gt;0),"",H92-B92)</f>
        <v/>
      </c>
    </row>
    <row r="93" customFormat="false" ht="15" hidden="false" customHeight="false" outlineLevel="0" collapsed="false">
      <c r="A93" s="51"/>
      <c r="B93" s="65"/>
      <c r="C93" s="51"/>
      <c r="D93" s="51"/>
      <c r="E93" s="76"/>
      <c r="F93" s="66" t="str">
        <f aca="false">IF(C93="","",IFERROR(1/(1/INDEX(Clients!$H$6:$H$25,MATCH(C93,Clients!$B$6:$B$25,0))),Settings!$C$10))</f>
        <v/>
      </c>
      <c r="G93" s="77" t="str">
        <f aca="false">IF(OR(B93="",F93=""),"",B93+F93)</f>
        <v/>
      </c>
      <c r="H93" s="65"/>
      <c r="I93" s="76"/>
      <c r="J93" s="51"/>
      <c r="K93" s="73" t="str">
        <f aca="false">IF(E93="","",E93-N(I93))</f>
        <v/>
      </c>
      <c r="L93" s="78" t="str">
        <f aca="true">IF(E93="","",IF(K93&lt;=0,"Paid",IF(AND(G93&lt;&gt;"",TODAY()&gt;G93),"Overdue",IF(N(I93)&gt;0,"Partial","Open"))))</f>
        <v/>
      </c>
      <c r="M93" s="66" t="str">
        <f aca="true">IF(OR(E93="",G93=""),"",IF(K93&lt;=0,IF(H93="","",MAX(0,H93-G93)),MAX(0,TODAY()-G93)))</f>
        <v/>
      </c>
      <c r="N93" s="78" t="str">
        <f aca="true">IF(OR(E93="",G93=""),"",IF(K93&lt;=0,"",IF(TODAY()&lt;=G93,"Not due yet",IF(TODAY()-G93&lt;=30,"1-30 days late",IF(TODAY()-G93&lt;=60,"31-60 days late",IF(TODAY()-G93&lt;=90,"61-90 days late","90+ days late"))))))</f>
        <v/>
      </c>
      <c r="O93" s="66" t="str">
        <f aca="false">IF(OR(H93="",B93="",K93&gt;0),"",H93-B93)</f>
        <v/>
      </c>
    </row>
    <row r="94" customFormat="false" ht="15" hidden="false" customHeight="false" outlineLevel="0" collapsed="false">
      <c r="A94" s="51"/>
      <c r="B94" s="65"/>
      <c r="C94" s="51"/>
      <c r="D94" s="51"/>
      <c r="E94" s="76"/>
      <c r="F94" s="66" t="str">
        <f aca="false">IF(C94="","",IFERROR(1/(1/INDEX(Clients!$H$6:$H$25,MATCH(C94,Clients!$B$6:$B$25,0))),Settings!$C$10))</f>
        <v/>
      </c>
      <c r="G94" s="77" t="str">
        <f aca="false">IF(OR(B94="",F94=""),"",B94+F94)</f>
        <v/>
      </c>
      <c r="H94" s="65"/>
      <c r="I94" s="76"/>
      <c r="J94" s="51"/>
      <c r="K94" s="73" t="str">
        <f aca="false">IF(E94="","",E94-N(I94))</f>
        <v/>
      </c>
      <c r="L94" s="78" t="str">
        <f aca="true">IF(E94="","",IF(K94&lt;=0,"Paid",IF(AND(G94&lt;&gt;"",TODAY()&gt;G94),"Overdue",IF(N(I94)&gt;0,"Partial","Open"))))</f>
        <v/>
      </c>
      <c r="M94" s="66" t="str">
        <f aca="true">IF(OR(E94="",G94=""),"",IF(K94&lt;=0,IF(H94="","",MAX(0,H94-G94)),MAX(0,TODAY()-G94)))</f>
        <v/>
      </c>
      <c r="N94" s="78" t="str">
        <f aca="true">IF(OR(E94="",G94=""),"",IF(K94&lt;=0,"",IF(TODAY()&lt;=G94,"Not due yet",IF(TODAY()-G94&lt;=30,"1-30 days late",IF(TODAY()-G94&lt;=60,"31-60 days late",IF(TODAY()-G94&lt;=90,"61-90 days late","90+ days late"))))))</f>
        <v/>
      </c>
      <c r="O94" s="66" t="str">
        <f aca="false">IF(OR(H94="",B94="",K94&gt;0),"",H94-B94)</f>
        <v/>
      </c>
    </row>
    <row r="95" customFormat="false" ht="15" hidden="false" customHeight="false" outlineLevel="0" collapsed="false">
      <c r="A95" s="51"/>
      <c r="B95" s="65"/>
      <c r="C95" s="51"/>
      <c r="D95" s="51"/>
      <c r="E95" s="76"/>
      <c r="F95" s="66" t="str">
        <f aca="false">IF(C95="","",IFERROR(1/(1/INDEX(Clients!$H$6:$H$25,MATCH(C95,Clients!$B$6:$B$25,0))),Settings!$C$10))</f>
        <v/>
      </c>
      <c r="G95" s="77" t="str">
        <f aca="false">IF(OR(B95="",F95=""),"",B95+F95)</f>
        <v/>
      </c>
      <c r="H95" s="65"/>
      <c r="I95" s="76"/>
      <c r="J95" s="51"/>
      <c r="K95" s="73" t="str">
        <f aca="false">IF(E95="","",E95-N(I95))</f>
        <v/>
      </c>
      <c r="L95" s="78" t="str">
        <f aca="true">IF(E95="","",IF(K95&lt;=0,"Paid",IF(AND(G95&lt;&gt;"",TODAY()&gt;G95),"Overdue",IF(N(I95)&gt;0,"Partial","Open"))))</f>
        <v/>
      </c>
      <c r="M95" s="66" t="str">
        <f aca="true">IF(OR(E95="",G95=""),"",IF(K95&lt;=0,IF(H95="","",MAX(0,H95-G95)),MAX(0,TODAY()-G95)))</f>
        <v/>
      </c>
      <c r="N95" s="78" t="str">
        <f aca="true">IF(OR(E95="",G95=""),"",IF(K95&lt;=0,"",IF(TODAY()&lt;=G95,"Not due yet",IF(TODAY()-G95&lt;=30,"1-30 days late",IF(TODAY()-G95&lt;=60,"31-60 days late",IF(TODAY()-G95&lt;=90,"61-90 days late","90+ days late"))))))</f>
        <v/>
      </c>
      <c r="O95" s="66" t="str">
        <f aca="false">IF(OR(H95="",B95="",K95&gt;0),"",H95-B95)</f>
        <v/>
      </c>
    </row>
    <row r="96" customFormat="false" ht="15" hidden="false" customHeight="false" outlineLevel="0" collapsed="false">
      <c r="A96" s="51"/>
      <c r="B96" s="65"/>
      <c r="C96" s="51"/>
      <c r="D96" s="51"/>
      <c r="E96" s="76"/>
      <c r="F96" s="66" t="str">
        <f aca="false">IF(C96="","",IFERROR(1/(1/INDEX(Clients!$H$6:$H$25,MATCH(C96,Clients!$B$6:$B$25,0))),Settings!$C$10))</f>
        <v/>
      </c>
      <c r="G96" s="77" t="str">
        <f aca="false">IF(OR(B96="",F96=""),"",B96+F96)</f>
        <v/>
      </c>
      <c r="H96" s="65"/>
      <c r="I96" s="76"/>
      <c r="J96" s="51"/>
      <c r="K96" s="73" t="str">
        <f aca="false">IF(E96="","",E96-N(I96))</f>
        <v/>
      </c>
      <c r="L96" s="78" t="str">
        <f aca="true">IF(E96="","",IF(K96&lt;=0,"Paid",IF(AND(G96&lt;&gt;"",TODAY()&gt;G96),"Overdue",IF(N(I96)&gt;0,"Partial","Open"))))</f>
        <v/>
      </c>
      <c r="M96" s="66" t="str">
        <f aca="true">IF(OR(E96="",G96=""),"",IF(K96&lt;=0,IF(H96="","",MAX(0,H96-G96)),MAX(0,TODAY()-G96)))</f>
        <v/>
      </c>
      <c r="N96" s="78" t="str">
        <f aca="true">IF(OR(E96="",G96=""),"",IF(K96&lt;=0,"",IF(TODAY()&lt;=G96,"Not due yet",IF(TODAY()-G96&lt;=30,"1-30 days late",IF(TODAY()-G96&lt;=60,"31-60 days late",IF(TODAY()-G96&lt;=90,"61-90 days late","90+ days late"))))))</f>
        <v/>
      </c>
      <c r="O96" s="66" t="str">
        <f aca="false">IF(OR(H96="",B96="",K96&gt;0),"",H96-B96)</f>
        <v/>
      </c>
    </row>
    <row r="97" customFormat="false" ht="15" hidden="false" customHeight="false" outlineLevel="0" collapsed="false">
      <c r="A97" s="51"/>
      <c r="B97" s="65"/>
      <c r="C97" s="51"/>
      <c r="D97" s="51"/>
      <c r="E97" s="76"/>
      <c r="F97" s="66" t="str">
        <f aca="false">IF(C97="","",IFERROR(1/(1/INDEX(Clients!$H$6:$H$25,MATCH(C97,Clients!$B$6:$B$25,0))),Settings!$C$10))</f>
        <v/>
      </c>
      <c r="G97" s="77" t="str">
        <f aca="false">IF(OR(B97="",F97=""),"",B97+F97)</f>
        <v/>
      </c>
      <c r="H97" s="65"/>
      <c r="I97" s="76"/>
      <c r="J97" s="51"/>
      <c r="K97" s="73" t="str">
        <f aca="false">IF(E97="","",E97-N(I97))</f>
        <v/>
      </c>
      <c r="L97" s="78" t="str">
        <f aca="true">IF(E97="","",IF(K97&lt;=0,"Paid",IF(AND(G97&lt;&gt;"",TODAY()&gt;G97),"Overdue",IF(N(I97)&gt;0,"Partial","Open"))))</f>
        <v/>
      </c>
      <c r="M97" s="66" t="str">
        <f aca="true">IF(OR(E97="",G97=""),"",IF(K97&lt;=0,IF(H97="","",MAX(0,H97-G97)),MAX(0,TODAY()-G97)))</f>
        <v/>
      </c>
      <c r="N97" s="78" t="str">
        <f aca="true">IF(OR(E97="",G97=""),"",IF(K97&lt;=0,"",IF(TODAY()&lt;=G97,"Not due yet",IF(TODAY()-G97&lt;=30,"1-30 days late",IF(TODAY()-G97&lt;=60,"31-60 days late",IF(TODAY()-G97&lt;=90,"61-90 days late","90+ days late"))))))</f>
        <v/>
      </c>
      <c r="O97" s="66" t="str">
        <f aca="false">IF(OR(H97="",B97="",K97&gt;0),"",H97-B97)</f>
        <v/>
      </c>
    </row>
    <row r="98" customFormat="false" ht="15" hidden="false" customHeight="false" outlineLevel="0" collapsed="false">
      <c r="A98" s="51"/>
      <c r="B98" s="65"/>
      <c r="C98" s="51"/>
      <c r="D98" s="51"/>
      <c r="E98" s="76"/>
      <c r="F98" s="66" t="str">
        <f aca="false">IF(C98="","",IFERROR(1/(1/INDEX(Clients!$H$6:$H$25,MATCH(C98,Clients!$B$6:$B$25,0))),Settings!$C$10))</f>
        <v/>
      </c>
      <c r="G98" s="77" t="str">
        <f aca="false">IF(OR(B98="",F98=""),"",B98+F98)</f>
        <v/>
      </c>
      <c r="H98" s="65"/>
      <c r="I98" s="76"/>
      <c r="J98" s="51"/>
      <c r="K98" s="73" t="str">
        <f aca="false">IF(E98="","",E98-N(I98))</f>
        <v/>
      </c>
      <c r="L98" s="78" t="str">
        <f aca="true">IF(E98="","",IF(K98&lt;=0,"Paid",IF(AND(G98&lt;&gt;"",TODAY()&gt;G98),"Overdue",IF(N(I98)&gt;0,"Partial","Open"))))</f>
        <v/>
      </c>
      <c r="M98" s="66" t="str">
        <f aca="true">IF(OR(E98="",G98=""),"",IF(K98&lt;=0,IF(H98="","",MAX(0,H98-G98)),MAX(0,TODAY()-G98)))</f>
        <v/>
      </c>
      <c r="N98" s="78" t="str">
        <f aca="true">IF(OR(E98="",G98=""),"",IF(K98&lt;=0,"",IF(TODAY()&lt;=G98,"Not due yet",IF(TODAY()-G98&lt;=30,"1-30 days late",IF(TODAY()-G98&lt;=60,"31-60 days late",IF(TODAY()-G98&lt;=90,"61-90 days late","90+ days late"))))))</f>
        <v/>
      </c>
      <c r="O98" s="66" t="str">
        <f aca="false">IF(OR(H98="",B98="",K98&gt;0),"",H98-B98)</f>
        <v/>
      </c>
    </row>
    <row r="99" customFormat="false" ht="15" hidden="false" customHeight="false" outlineLevel="0" collapsed="false">
      <c r="A99" s="51"/>
      <c r="B99" s="65"/>
      <c r="C99" s="51"/>
      <c r="D99" s="51"/>
      <c r="E99" s="76"/>
      <c r="F99" s="66" t="str">
        <f aca="false">IF(C99="","",IFERROR(1/(1/INDEX(Clients!$H$6:$H$25,MATCH(C99,Clients!$B$6:$B$25,0))),Settings!$C$10))</f>
        <v/>
      </c>
      <c r="G99" s="77" t="str">
        <f aca="false">IF(OR(B99="",F99=""),"",B99+F99)</f>
        <v/>
      </c>
      <c r="H99" s="65"/>
      <c r="I99" s="76"/>
      <c r="J99" s="51"/>
      <c r="K99" s="73" t="str">
        <f aca="false">IF(E99="","",E99-N(I99))</f>
        <v/>
      </c>
      <c r="L99" s="78" t="str">
        <f aca="true">IF(E99="","",IF(K99&lt;=0,"Paid",IF(AND(G99&lt;&gt;"",TODAY()&gt;G99),"Overdue",IF(N(I99)&gt;0,"Partial","Open"))))</f>
        <v/>
      </c>
      <c r="M99" s="66" t="str">
        <f aca="true">IF(OR(E99="",G99=""),"",IF(K99&lt;=0,IF(H99="","",MAX(0,H99-G99)),MAX(0,TODAY()-G99)))</f>
        <v/>
      </c>
      <c r="N99" s="78" t="str">
        <f aca="true">IF(OR(E99="",G99=""),"",IF(K99&lt;=0,"",IF(TODAY()&lt;=G99,"Not due yet",IF(TODAY()-G99&lt;=30,"1-30 days late",IF(TODAY()-G99&lt;=60,"31-60 days late",IF(TODAY()-G99&lt;=90,"61-90 days late","90+ days late"))))))</f>
        <v/>
      </c>
      <c r="O99" s="66" t="str">
        <f aca="false">IF(OR(H99="",B99="",K99&gt;0),"",H99-B99)</f>
        <v/>
      </c>
    </row>
    <row r="100" customFormat="false" ht="15" hidden="false" customHeight="false" outlineLevel="0" collapsed="false">
      <c r="A100" s="51"/>
      <c r="B100" s="65"/>
      <c r="C100" s="51"/>
      <c r="D100" s="51"/>
      <c r="E100" s="76"/>
      <c r="F100" s="66" t="str">
        <f aca="false">IF(C100="","",IFERROR(1/(1/INDEX(Clients!$H$6:$H$25,MATCH(C100,Clients!$B$6:$B$25,0))),Settings!$C$10))</f>
        <v/>
      </c>
      <c r="G100" s="77" t="str">
        <f aca="false">IF(OR(B100="",F100=""),"",B100+F100)</f>
        <v/>
      </c>
      <c r="H100" s="65"/>
      <c r="I100" s="76"/>
      <c r="J100" s="51"/>
      <c r="K100" s="73" t="str">
        <f aca="false">IF(E100="","",E100-N(I100))</f>
        <v/>
      </c>
      <c r="L100" s="78" t="str">
        <f aca="true">IF(E100="","",IF(K100&lt;=0,"Paid",IF(AND(G100&lt;&gt;"",TODAY()&gt;G100),"Overdue",IF(N(I100)&gt;0,"Partial","Open"))))</f>
        <v/>
      </c>
      <c r="M100" s="66" t="str">
        <f aca="true">IF(OR(E100="",G100=""),"",IF(K100&lt;=0,IF(H100="","",MAX(0,H100-G100)),MAX(0,TODAY()-G100)))</f>
        <v/>
      </c>
      <c r="N100" s="78" t="str">
        <f aca="true">IF(OR(E100="",G100=""),"",IF(K100&lt;=0,"",IF(TODAY()&lt;=G100,"Not due yet",IF(TODAY()-G100&lt;=30,"1-30 days late",IF(TODAY()-G100&lt;=60,"31-60 days late",IF(TODAY()-G100&lt;=90,"61-90 days late","90+ days late"))))))</f>
        <v/>
      </c>
      <c r="O100" s="66" t="str">
        <f aca="false">IF(OR(H100="",B100="",K100&gt;0),"",H100-B100)</f>
        <v/>
      </c>
    </row>
    <row r="101" customFormat="false" ht="15" hidden="false" customHeight="false" outlineLevel="0" collapsed="false">
      <c r="A101" s="51"/>
      <c r="B101" s="65"/>
      <c r="C101" s="51"/>
      <c r="D101" s="51"/>
      <c r="E101" s="76"/>
      <c r="F101" s="66" t="str">
        <f aca="false">IF(C101="","",IFERROR(1/(1/INDEX(Clients!$H$6:$H$25,MATCH(C101,Clients!$B$6:$B$25,0))),Settings!$C$10))</f>
        <v/>
      </c>
      <c r="G101" s="77" t="str">
        <f aca="false">IF(OR(B101="",F101=""),"",B101+F101)</f>
        <v/>
      </c>
      <c r="H101" s="65"/>
      <c r="I101" s="76"/>
      <c r="J101" s="51"/>
      <c r="K101" s="73" t="str">
        <f aca="false">IF(E101="","",E101-N(I101))</f>
        <v/>
      </c>
      <c r="L101" s="78" t="str">
        <f aca="true">IF(E101="","",IF(K101&lt;=0,"Paid",IF(AND(G101&lt;&gt;"",TODAY()&gt;G101),"Overdue",IF(N(I101)&gt;0,"Partial","Open"))))</f>
        <v/>
      </c>
      <c r="M101" s="66" t="str">
        <f aca="true">IF(OR(E101="",G101=""),"",IF(K101&lt;=0,IF(H101="","",MAX(0,H101-G101)),MAX(0,TODAY()-G101)))</f>
        <v/>
      </c>
      <c r="N101" s="78" t="str">
        <f aca="true">IF(OR(E101="",G101=""),"",IF(K101&lt;=0,"",IF(TODAY()&lt;=G101,"Not due yet",IF(TODAY()-G101&lt;=30,"1-30 days late",IF(TODAY()-G101&lt;=60,"31-60 days late",IF(TODAY()-G101&lt;=90,"61-90 days late","90+ days late"))))))</f>
        <v/>
      </c>
      <c r="O101" s="66" t="str">
        <f aca="false">IF(OR(H101="",B101="",K101&gt;0),"",H101-B101)</f>
        <v/>
      </c>
    </row>
    <row r="102" customFormat="false" ht="15" hidden="false" customHeight="false" outlineLevel="0" collapsed="false">
      <c r="A102" s="51"/>
      <c r="B102" s="65"/>
      <c r="C102" s="51"/>
      <c r="D102" s="51"/>
      <c r="E102" s="76"/>
      <c r="F102" s="66" t="str">
        <f aca="false">IF(C102="","",IFERROR(1/(1/INDEX(Clients!$H$6:$H$25,MATCH(C102,Clients!$B$6:$B$25,0))),Settings!$C$10))</f>
        <v/>
      </c>
      <c r="G102" s="77" t="str">
        <f aca="false">IF(OR(B102="",F102=""),"",B102+F102)</f>
        <v/>
      </c>
      <c r="H102" s="65"/>
      <c r="I102" s="76"/>
      <c r="J102" s="51"/>
      <c r="K102" s="73" t="str">
        <f aca="false">IF(E102="","",E102-N(I102))</f>
        <v/>
      </c>
      <c r="L102" s="78" t="str">
        <f aca="true">IF(E102="","",IF(K102&lt;=0,"Paid",IF(AND(G102&lt;&gt;"",TODAY()&gt;G102),"Overdue",IF(N(I102)&gt;0,"Partial","Open"))))</f>
        <v/>
      </c>
      <c r="M102" s="66" t="str">
        <f aca="true">IF(OR(E102="",G102=""),"",IF(K102&lt;=0,IF(H102="","",MAX(0,H102-G102)),MAX(0,TODAY()-G102)))</f>
        <v/>
      </c>
      <c r="N102" s="78" t="str">
        <f aca="true">IF(OR(E102="",G102=""),"",IF(K102&lt;=0,"",IF(TODAY()&lt;=G102,"Not due yet",IF(TODAY()-G102&lt;=30,"1-30 days late",IF(TODAY()-G102&lt;=60,"31-60 days late",IF(TODAY()-G102&lt;=90,"61-90 days late","90+ days late"))))))</f>
        <v/>
      </c>
      <c r="O102" s="66" t="str">
        <f aca="false">IF(OR(H102="",B102="",K102&gt;0),"",H102-B102)</f>
        <v/>
      </c>
    </row>
    <row r="103" customFormat="false" ht="15" hidden="false" customHeight="false" outlineLevel="0" collapsed="false">
      <c r="A103" s="51"/>
      <c r="B103" s="65"/>
      <c r="C103" s="51"/>
      <c r="D103" s="51"/>
      <c r="E103" s="76"/>
      <c r="F103" s="66" t="str">
        <f aca="false">IF(C103="","",IFERROR(1/(1/INDEX(Clients!$H$6:$H$25,MATCH(C103,Clients!$B$6:$B$25,0))),Settings!$C$10))</f>
        <v/>
      </c>
      <c r="G103" s="77" t="str">
        <f aca="false">IF(OR(B103="",F103=""),"",B103+F103)</f>
        <v/>
      </c>
      <c r="H103" s="65"/>
      <c r="I103" s="76"/>
      <c r="J103" s="51"/>
      <c r="K103" s="73" t="str">
        <f aca="false">IF(E103="","",E103-N(I103))</f>
        <v/>
      </c>
      <c r="L103" s="78" t="str">
        <f aca="true">IF(E103="","",IF(K103&lt;=0,"Paid",IF(AND(G103&lt;&gt;"",TODAY()&gt;G103),"Overdue",IF(N(I103)&gt;0,"Partial","Open"))))</f>
        <v/>
      </c>
      <c r="M103" s="66" t="str">
        <f aca="true">IF(OR(E103="",G103=""),"",IF(K103&lt;=0,IF(H103="","",MAX(0,H103-G103)),MAX(0,TODAY()-G103)))</f>
        <v/>
      </c>
      <c r="N103" s="78" t="str">
        <f aca="true">IF(OR(E103="",G103=""),"",IF(K103&lt;=0,"",IF(TODAY()&lt;=G103,"Not due yet",IF(TODAY()-G103&lt;=30,"1-30 days late",IF(TODAY()-G103&lt;=60,"31-60 days late",IF(TODAY()-G103&lt;=90,"61-90 days late","90+ days late"))))))</f>
        <v/>
      </c>
      <c r="O103" s="66" t="str">
        <f aca="false">IF(OR(H103="",B103="",K103&gt;0),"",H103-B103)</f>
        <v/>
      </c>
    </row>
    <row r="104" customFormat="false" ht="15" hidden="false" customHeight="false" outlineLevel="0" collapsed="false">
      <c r="A104" s="51"/>
      <c r="B104" s="65"/>
      <c r="C104" s="51"/>
      <c r="D104" s="51"/>
      <c r="E104" s="76"/>
      <c r="F104" s="66" t="str">
        <f aca="false">IF(C104="","",IFERROR(1/(1/INDEX(Clients!$H$6:$H$25,MATCH(C104,Clients!$B$6:$B$25,0))),Settings!$C$10))</f>
        <v/>
      </c>
      <c r="G104" s="77" t="str">
        <f aca="false">IF(OR(B104="",F104=""),"",B104+F104)</f>
        <v/>
      </c>
      <c r="H104" s="65"/>
      <c r="I104" s="76"/>
      <c r="J104" s="51"/>
      <c r="K104" s="73" t="str">
        <f aca="false">IF(E104="","",E104-N(I104))</f>
        <v/>
      </c>
      <c r="L104" s="78" t="str">
        <f aca="true">IF(E104="","",IF(K104&lt;=0,"Paid",IF(AND(G104&lt;&gt;"",TODAY()&gt;G104),"Overdue",IF(N(I104)&gt;0,"Partial","Open"))))</f>
        <v/>
      </c>
      <c r="M104" s="66" t="str">
        <f aca="true">IF(OR(E104="",G104=""),"",IF(K104&lt;=0,IF(H104="","",MAX(0,H104-G104)),MAX(0,TODAY()-G104)))</f>
        <v/>
      </c>
      <c r="N104" s="78" t="str">
        <f aca="true">IF(OR(E104="",G104=""),"",IF(K104&lt;=0,"",IF(TODAY()&lt;=G104,"Not due yet",IF(TODAY()-G104&lt;=30,"1-30 days late",IF(TODAY()-G104&lt;=60,"31-60 days late",IF(TODAY()-G104&lt;=90,"61-90 days late","90+ days late"))))))</f>
        <v/>
      </c>
      <c r="O104" s="66" t="str">
        <f aca="false">IF(OR(H104="",B104="",K104&gt;0),"",H104-B104)</f>
        <v/>
      </c>
    </row>
    <row r="105" customFormat="false" ht="15" hidden="false" customHeight="false" outlineLevel="0" collapsed="false">
      <c r="A105" s="51"/>
      <c r="B105" s="65"/>
      <c r="C105" s="51"/>
      <c r="D105" s="51"/>
      <c r="E105" s="76"/>
      <c r="F105" s="66" t="str">
        <f aca="false">IF(C105="","",IFERROR(1/(1/INDEX(Clients!$H$6:$H$25,MATCH(C105,Clients!$B$6:$B$25,0))),Settings!$C$10))</f>
        <v/>
      </c>
      <c r="G105" s="77" t="str">
        <f aca="false">IF(OR(B105="",F105=""),"",B105+F105)</f>
        <v/>
      </c>
      <c r="H105" s="65"/>
      <c r="I105" s="76"/>
      <c r="J105" s="51"/>
      <c r="K105" s="73" t="str">
        <f aca="false">IF(E105="","",E105-N(I105))</f>
        <v/>
      </c>
      <c r="L105" s="78" t="str">
        <f aca="true">IF(E105="","",IF(K105&lt;=0,"Paid",IF(AND(G105&lt;&gt;"",TODAY()&gt;G105),"Overdue",IF(N(I105)&gt;0,"Partial","Open"))))</f>
        <v/>
      </c>
      <c r="M105" s="66" t="str">
        <f aca="true">IF(OR(E105="",G105=""),"",IF(K105&lt;=0,IF(H105="","",MAX(0,H105-G105)),MAX(0,TODAY()-G105)))</f>
        <v/>
      </c>
      <c r="N105" s="78" t="str">
        <f aca="true">IF(OR(E105="",G105=""),"",IF(K105&lt;=0,"",IF(TODAY()&lt;=G105,"Not due yet",IF(TODAY()-G105&lt;=30,"1-30 days late",IF(TODAY()-G105&lt;=60,"31-60 days late",IF(TODAY()-G105&lt;=90,"61-90 days late","90+ days late"))))))</f>
        <v/>
      </c>
      <c r="O105" s="66" t="str">
        <f aca="false">IF(OR(H105="",B105="",K105&gt;0),"",H105-B105)</f>
        <v/>
      </c>
    </row>
    <row r="106" customFormat="false" ht="15" hidden="false" customHeight="false" outlineLevel="0" collapsed="false">
      <c r="A106" s="51"/>
      <c r="B106" s="65"/>
      <c r="C106" s="51"/>
      <c r="D106" s="51"/>
      <c r="E106" s="76"/>
      <c r="F106" s="66" t="str">
        <f aca="false">IF(C106="","",IFERROR(1/(1/INDEX(Clients!$H$6:$H$25,MATCH(C106,Clients!$B$6:$B$25,0))),Settings!$C$10))</f>
        <v/>
      </c>
      <c r="G106" s="77" t="str">
        <f aca="false">IF(OR(B106="",F106=""),"",B106+F106)</f>
        <v/>
      </c>
      <c r="H106" s="65"/>
      <c r="I106" s="76"/>
      <c r="J106" s="51"/>
      <c r="K106" s="73" t="str">
        <f aca="false">IF(E106="","",E106-N(I106))</f>
        <v/>
      </c>
      <c r="L106" s="78" t="str">
        <f aca="true">IF(E106="","",IF(K106&lt;=0,"Paid",IF(AND(G106&lt;&gt;"",TODAY()&gt;G106),"Overdue",IF(N(I106)&gt;0,"Partial","Open"))))</f>
        <v/>
      </c>
      <c r="M106" s="66" t="str">
        <f aca="true">IF(OR(E106="",G106=""),"",IF(K106&lt;=0,IF(H106="","",MAX(0,H106-G106)),MAX(0,TODAY()-G106)))</f>
        <v/>
      </c>
      <c r="N106" s="78" t="str">
        <f aca="true">IF(OR(E106="",G106=""),"",IF(K106&lt;=0,"",IF(TODAY()&lt;=G106,"Not due yet",IF(TODAY()-G106&lt;=30,"1-30 days late",IF(TODAY()-G106&lt;=60,"31-60 days late",IF(TODAY()-G106&lt;=90,"61-90 days late","90+ days late"))))))</f>
        <v/>
      </c>
      <c r="O106" s="66" t="str">
        <f aca="false">IF(OR(H106="",B106="",K106&gt;0),"",H106-B106)</f>
        <v/>
      </c>
    </row>
    <row r="107" customFormat="false" ht="15" hidden="false" customHeight="false" outlineLevel="0" collapsed="false">
      <c r="A107" s="51"/>
      <c r="B107" s="65"/>
      <c r="C107" s="51"/>
      <c r="D107" s="51"/>
      <c r="E107" s="76"/>
      <c r="F107" s="66" t="str">
        <f aca="false">IF(C107="","",IFERROR(1/(1/INDEX(Clients!$H$6:$H$25,MATCH(C107,Clients!$B$6:$B$25,0))),Settings!$C$10))</f>
        <v/>
      </c>
      <c r="G107" s="77" t="str">
        <f aca="false">IF(OR(B107="",F107=""),"",B107+F107)</f>
        <v/>
      </c>
      <c r="H107" s="65"/>
      <c r="I107" s="76"/>
      <c r="J107" s="51"/>
      <c r="K107" s="73" t="str">
        <f aca="false">IF(E107="","",E107-N(I107))</f>
        <v/>
      </c>
      <c r="L107" s="78" t="str">
        <f aca="true">IF(E107="","",IF(K107&lt;=0,"Paid",IF(AND(G107&lt;&gt;"",TODAY()&gt;G107),"Overdue",IF(N(I107)&gt;0,"Partial","Open"))))</f>
        <v/>
      </c>
      <c r="M107" s="66" t="str">
        <f aca="true">IF(OR(E107="",G107=""),"",IF(K107&lt;=0,IF(H107="","",MAX(0,H107-G107)),MAX(0,TODAY()-G107)))</f>
        <v/>
      </c>
      <c r="N107" s="78" t="str">
        <f aca="true">IF(OR(E107="",G107=""),"",IF(K107&lt;=0,"",IF(TODAY()&lt;=G107,"Not due yet",IF(TODAY()-G107&lt;=30,"1-30 days late",IF(TODAY()-G107&lt;=60,"31-60 days late",IF(TODAY()-G107&lt;=90,"61-90 days late","90+ days late"))))))</f>
        <v/>
      </c>
      <c r="O107" s="66" t="str">
        <f aca="false">IF(OR(H107="",B107="",K107&gt;0),"",H107-B107)</f>
        <v/>
      </c>
    </row>
    <row r="108" customFormat="false" ht="15" hidden="false" customHeight="false" outlineLevel="0" collapsed="false">
      <c r="A108" s="51"/>
      <c r="B108" s="65"/>
      <c r="C108" s="51"/>
      <c r="D108" s="51"/>
      <c r="E108" s="76"/>
      <c r="F108" s="66" t="str">
        <f aca="false">IF(C108="","",IFERROR(1/(1/INDEX(Clients!$H$6:$H$25,MATCH(C108,Clients!$B$6:$B$25,0))),Settings!$C$10))</f>
        <v/>
      </c>
      <c r="G108" s="77" t="str">
        <f aca="false">IF(OR(B108="",F108=""),"",B108+F108)</f>
        <v/>
      </c>
      <c r="H108" s="65"/>
      <c r="I108" s="76"/>
      <c r="J108" s="51"/>
      <c r="K108" s="73" t="str">
        <f aca="false">IF(E108="","",E108-N(I108))</f>
        <v/>
      </c>
      <c r="L108" s="78" t="str">
        <f aca="true">IF(E108="","",IF(K108&lt;=0,"Paid",IF(AND(G108&lt;&gt;"",TODAY()&gt;G108),"Overdue",IF(N(I108)&gt;0,"Partial","Open"))))</f>
        <v/>
      </c>
      <c r="M108" s="66" t="str">
        <f aca="true">IF(OR(E108="",G108=""),"",IF(K108&lt;=0,IF(H108="","",MAX(0,H108-G108)),MAX(0,TODAY()-G108)))</f>
        <v/>
      </c>
      <c r="N108" s="78" t="str">
        <f aca="true">IF(OR(E108="",G108=""),"",IF(K108&lt;=0,"",IF(TODAY()&lt;=G108,"Not due yet",IF(TODAY()-G108&lt;=30,"1-30 days late",IF(TODAY()-G108&lt;=60,"31-60 days late",IF(TODAY()-G108&lt;=90,"61-90 days late","90+ days late"))))))</f>
        <v/>
      </c>
      <c r="O108" s="66" t="str">
        <f aca="false">IF(OR(H108="",B108="",K108&gt;0),"",H108-B108)</f>
        <v/>
      </c>
    </row>
    <row r="109" customFormat="false" ht="15" hidden="false" customHeight="false" outlineLevel="0" collapsed="false">
      <c r="A109" s="51"/>
      <c r="B109" s="65"/>
      <c r="C109" s="51"/>
      <c r="D109" s="51"/>
      <c r="E109" s="76"/>
      <c r="F109" s="66" t="str">
        <f aca="false">IF(C109="","",IFERROR(1/(1/INDEX(Clients!$H$6:$H$25,MATCH(C109,Clients!$B$6:$B$25,0))),Settings!$C$10))</f>
        <v/>
      </c>
      <c r="G109" s="77" t="str">
        <f aca="false">IF(OR(B109="",F109=""),"",B109+F109)</f>
        <v/>
      </c>
      <c r="H109" s="65"/>
      <c r="I109" s="76"/>
      <c r="J109" s="51"/>
      <c r="K109" s="73" t="str">
        <f aca="false">IF(E109="","",E109-N(I109))</f>
        <v/>
      </c>
      <c r="L109" s="78" t="str">
        <f aca="true">IF(E109="","",IF(K109&lt;=0,"Paid",IF(AND(G109&lt;&gt;"",TODAY()&gt;G109),"Overdue",IF(N(I109)&gt;0,"Partial","Open"))))</f>
        <v/>
      </c>
      <c r="M109" s="66" t="str">
        <f aca="true">IF(OR(E109="",G109=""),"",IF(K109&lt;=0,IF(H109="","",MAX(0,H109-G109)),MAX(0,TODAY()-G109)))</f>
        <v/>
      </c>
      <c r="N109" s="78" t="str">
        <f aca="true">IF(OR(E109="",G109=""),"",IF(K109&lt;=0,"",IF(TODAY()&lt;=G109,"Not due yet",IF(TODAY()-G109&lt;=30,"1-30 days late",IF(TODAY()-G109&lt;=60,"31-60 days late",IF(TODAY()-G109&lt;=90,"61-90 days late","90+ days late"))))))</f>
        <v/>
      </c>
      <c r="O109" s="66" t="str">
        <f aca="false">IF(OR(H109="",B109="",K109&gt;0),"",H109-B109)</f>
        <v/>
      </c>
    </row>
    <row r="110" customFormat="false" ht="15" hidden="false" customHeight="false" outlineLevel="0" collapsed="false">
      <c r="A110" s="51"/>
      <c r="B110" s="65"/>
      <c r="C110" s="51"/>
      <c r="D110" s="51"/>
      <c r="E110" s="76"/>
      <c r="F110" s="66" t="str">
        <f aca="false">IF(C110="","",IFERROR(1/(1/INDEX(Clients!$H$6:$H$25,MATCH(C110,Clients!$B$6:$B$25,0))),Settings!$C$10))</f>
        <v/>
      </c>
      <c r="G110" s="77" t="str">
        <f aca="false">IF(OR(B110="",F110=""),"",B110+F110)</f>
        <v/>
      </c>
      <c r="H110" s="65"/>
      <c r="I110" s="76"/>
      <c r="J110" s="51"/>
      <c r="K110" s="73" t="str">
        <f aca="false">IF(E110="","",E110-N(I110))</f>
        <v/>
      </c>
      <c r="L110" s="78" t="str">
        <f aca="true">IF(E110="","",IF(K110&lt;=0,"Paid",IF(AND(G110&lt;&gt;"",TODAY()&gt;G110),"Overdue",IF(N(I110)&gt;0,"Partial","Open"))))</f>
        <v/>
      </c>
      <c r="M110" s="66" t="str">
        <f aca="true">IF(OR(E110="",G110=""),"",IF(K110&lt;=0,IF(H110="","",MAX(0,H110-G110)),MAX(0,TODAY()-G110)))</f>
        <v/>
      </c>
      <c r="N110" s="78" t="str">
        <f aca="true">IF(OR(E110="",G110=""),"",IF(K110&lt;=0,"",IF(TODAY()&lt;=G110,"Not due yet",IF(TODAY()-G110&lt;=30,"1-30 days late",IF(TODAY()-G110&lt;=60,"31-60 days late",IF(TODAY()-G110&lt;=90,"61-90 days late","90+ days late"))))))</f>
        <v/>
      </c>
      <c r="O110" s="66" t="str">
        <f aca="false">IF(OR(H110="",B110="",K110&gt;0),"",H110-B110)</f>
        <v/>
      </c>
    </row>
    <row r="111" customFormat="false" ht="15" hidden="false" customHeight="false" outlineLevel="0" collapsed="false">
      <c r="A111" s="51"/>
      <c r="B111" s="65"/>
      <c r="C111" s="51"/>
      <c r="D111" s="51"/>
      <c r="E111" s="76"/>
      <c r="F111" s="66" t="str">
        <f aca="false">IF(C111="","",IFERROR(1/(1/INDEX(Clients!$H$6:$H$25,MATCH(C111,Clients!$B$6:$B$25,0))),Settings!$C$10))</f>
        <v/>
      </c>
      <c r="G111" s="77" t="str">
        <f aca="false">IF(OR(B111="",F111=""),"",B111+F111)</f>
        <v/>
      </c>
      <c r="H111" s="65"/>
      <c r="I111" s="76"/>
      <c r="J111" s="51"/>
      <c r="K111" s="73" t="str">
        <f aca="false">IF(E111="","",E111-N(I111))</f>
        <v/>
      </c>
      <c r="L111" s="78" t="str">
        <f aca="true">IF(E111="","",IF(K111&lt;=0,"Paid",IF(AND(G111&lt;&gt;"",TODAY()&gt;G111),"Overdue",IF(N(I111)&gt;0,"Partial","Open"))))</f>
        <v/>
      </c>
      <c r="M111" s="66" t="str">
        <f aca="true">IF(OR(E111="",G111=""),"",IF(K111&lt;=0,IF(H111="","",MAX(0,H111-G111)),MAX(0,TODAY()-G111)))</f>
        <v/>
      </c>
      <c r="N111" s="78" t="str">
        <f aca="true">IF(OR(E111="",G111=""),"",IF(K111&lt;=0,"",IF(TODAY()&lt;=G111,"Not due yet",IF(TODAY()-G111&lt;=30,"1-30 days late",IF(TODAY()-G111&lt;=60,"31-60 days late",IF(TODAY()-G111&lt;=90,"61-90 days late","90+ days late"))))))</f>
        <v/>
      </c>
      <c r="O111" s="66" t="str">
        <f aca="false">IF(OR(H111="",B111="",K111&gt;0),"",H111-B111)</f>
        <v/>
      </c>
    </row>
    <row r="112" customFormat="false" ht="15" hidden="false" customHeight="false" outlineLevel="0" collapsed="false">
      <c r="A112" s="51"/>
      <c r="B112" s="65"/>
      <c r="C112" s="51"/>
      <c r="D112" s="51"/>
      <c r="E112" s="76"/>
      <c r="F112" s="66" t="str">
        <f aca="false">IF(C112="","",IFERROR(1/(1/INDEX(Clients!$H$6:$H$25,MATCH(C112,Clients!$B$6:$B$25,0))),Settings!$C$10))</f>
        <v/>
      </c>
      <c r="G112" s="77" t="str">
        <f aca="false">IF(OR(B112="",F112=""),"",B112+F112)</f>
        <v/>
      </c>
      <c r="H112" s="65"/>
      <c r="I112" s="76"/>
      <c r="J112" s="51"/>
      <c r="K112" s="73" t="str">
        <f aca="false">IF(E112="","",E112-N(I112))</f>
        <v/>
      </c>
      <c r="L112" s="78" t="str">
        <f aca="true">IF(E112="","",IF(K112&lt;=0,"Paid",IF(AND(G112&lt;&gt;"",TODAY()&gt;G112),"Overdue",IF(N(I112)&gt;0,"Partial","Open"))))</f>
        <v/>
      </c>
      <c r="M112" s="66" t="str">
        <f aca="true">IF(OR(E112="",G112=""),"",IF(K112&lt;=0,IF(H112="","",MAX(0,H112-G112)),MAX(0,TODAY()-G112)))</f>
        <v/>
      </c>
      <c r="N112" s="78" t="str">
        <f aca="true">IF(OR(E112="",G112=""),"",IF(K112&lt;=0,"",IF(TODAY()&lt;=G112,"Not due yet",IF(TODAY()-G112&lt;=30,"1-30 days late",IF(TODAY()-G112&lt;=60,"31-60 days late",IF(TODAY()-G112&lt;=90,"61-90 days late","90+ days late"))))))</f>
        <v/>
      </c>
      <c r="O112" s="66" t="str">
        <f aca="false">IF(OR(H112="",B112="",K112&gt;0),"",H112-B112)</f>
        <v/>
      </c>
    </row>
    <row r="113" customFormat="false" ht="15" hidden="false" customHeight="false" outlineLevel="0" collapsed="false">
      <c r="A113" s="51"/>
      <c r="B113" s="65"/>
      <c r="C113" s="51"/>
      <c r="D113" s="51"/>
      <c r="E113" s="76"/>
      <c r="F113" s="66" t="str">
        <f aca="false">IF(C113="","",IFERROR(1/(1/INDEX(Clients!$H$6:$H$25,MATCH(C113,Clients!$B$6:$B$25,0))),Settings!$C$10))</f>
        <v/>
      </c>
      <c r="G113" s="77" t="str">
        <f aca="false">IF(OR(B113="",F113=""),"",B113+F113)</f>
        <v/>
      </c>
      <c r="H113" s="65"/>
      <c r="I113" s="76"/>
      <c r="J113" s="51"/>
      <c r="K113" s="73" t="str">
        <f aca="false">IF(E113="","",E113-N(I113))</f>
        <v/>
      </c>
      <c r="L113" s="78" t="str">
        <f aca="true">IF(E113="","",IF(K113&lt;=0,"Paid",IF(AND(G113&lt;&gt;"",TODAY()&gt;G113),"Overdue",IF(N(I113)&gt;0,"Partial","Open"))))</f>
        <v/>
      </c>
      <c r="M113" s="66" t="str">
        <f aca="true">IF(OR(E113="",G113=""),"",IF(K113&lt;=0,IF(H113="","",MAX(0,H113-G113)),MAX(0,TODAY()-G113)))</f>
        <v/>
      </c>
      <c r="N113" s="78" t="str">
        <f aca="true">IF(OR(E113="",G113=""),"",IF(K113&lt;=0,"",IF(TODAY()&lt;=G113,"Not due yet",IF(TODAY()-G113&lt;=30,"1-30 days late",IF(TODAY()-G113&lt;=60,"31-60 days late",IF(TODAY()-G113&lt;=90,"61-90 days late","90+ days late"))))))</f>
        <v/>
      </c>
      <c r="O113" s="66" t="str">
        <f aca="false">IF(OR(H113="",B113="",K113&gt;0),"",H113-B113)</f>
        <v/>
      </c>
    </row>
    <row r="114" customFormat="false" ht="15" hidden="false" customHeight="false" outlineLevel="0" collapsed="false">
      <c r="A114" s="51"/>
      <c r="B114" s="65"/>
      <c r="C114" s="51"/>
      <c r="D114" s="51"/>
      <c r="E114" s="76"/>
      <c r="F114" s="66" t="str">
        <f aca="false">IF(C114="","",IFERROR(1/(1/INDEX(Clients!$H$6:$H$25,MATCH(C114,Clients!$B$6:$B$25,0))),Settings!$C$10))</f>
        <v/>
      </c>
      <c r="G114" s="77" t="str">
        <f aca="false">IF(OR(B114="",F114=""),"",B114+F114)</f>
        <v/>
      </c>
      <c r="H114" s="65"/>
      <c r="I114" s="76"/>
      <c r="J114" s="51"/>
      <c r="K114" s="73" t="str">
        <f aca="false">IF(E114="","",E114-N(I114))</f>
        <v/>
      </c>
      <c r="L114" s="78" t="str">
        <f aca="true">IF(E114="","",IF(K114&lt;=0,"Paid",IF(AND(G114&lt;&gt;"",TODAY()&gt;G114),"Overdue",IF(N(I114)&gt;0,"Partial","Open"))))</f>
        <v/>
      </c>
      <c r="M114" s="66" t="str">
        <f aca="true">IF(OR(E114="",G114=""),"",IF(K114&lt;=0,IF(H114="","",MAX(0,H114-G114)),MAX(0,TODAY()-G114)))</f>
        <v/>
      </c>
      <c r="N114" s="78" t="str">
        <f aca="true">IF(OR(E114="",G114=""),"",IF(K114&lt;=0,"",IF(TODAY()&lt;=G114,"Not due yet",IF(TODAY()-G114&lt;=30,"1-30 days late",IF(TODAY()-G114&lt;=60,"31-60 days late",IF(TODAY()-G114&lt;=90,"61-90 days late","90+ days late"))))))</f>
        <v/>
      </c>
      <c r="O114" s="66" t="str">
        <f aca="false">IF(OR(H114="",B114="",K114&gt;0),"",H114-B114)</f>
        <v/>
      </c>
    </row>
    <row r="115" customFormat="false" ht="15" hidden="false" customHeight="false" outlineLevel="0" collapsed="false">
      <c r="A115" s="51"/>
      <c r="B115" s="65"/>
      <c r="C115" s="51"/>
      <c r="D115" s="51"/>
      <c r="E115" s="76"/>
      <c r="F115" s="66" t="str">
        <f aca="false">IF(C115="","",IFERROR(1/(1/INDEX(Clients!$H$6:$H$25,MATCH(C115,Clients!$B$6:$B$25,0))),Settings!$C$10))</f>
        <v/>
      </c>
      <c r="G115" s="77" t="str">
        <f aca="false">IF(OR(B115="",F115=""),"",B115+F115)</f>
        <v/>
      </c>
      <c r="H115" s="65"/>
      <c r="I115" s="76"/>
      <c r="J115" s="51"/>
      <c r="K115" s="73" t="str">
        <f aca="false">IF(E115="","",E115-N(I115))</f>
        <v/>
      </c>
      <c r="L115" s="78" t="str">
        <f aca="true">IF(E115="","",IF(K115&lt;=0,"Paid",IF(AND(G115&lt;&gt;"",TODAY()&gt;G115),"Overdue",IF(N(I115)&gt;0,"Partial","Open"))))</f>
        <v/>
      </c>
      <c r="M115" s="66" t="str">
        <f aca="true">IF(OR(E115="",G115=""),"",IF(K115&lt;=0,IF(H115="","",MAX(0,H115-G115)),MAX(0,TODAY()-G115)))</f>
        <v/>
      </c>
      <c r="N115" s="78" t="str">
        <f aca="true">IF(OR(E115="",G115=""),"",IF(K115&lt;=0,"",IF(TODAY()&lt;=G115,"Not due yet",IF(TODAY()-G115&lt;=30,"1-30 days late",IF(TODAY()-G115&lt;=60,"31-60 days late",IF(TODAY()-G115&lt;=90,"61-90 days late","90+ days late"))))))</f>
        <v/>
      </c>
      <c r="O115" s="66" t="str">
        <f aca="false">IF(OR(H115="",B115="",K115&gt;0),"",H115-B115)</f>
        <v/>
      </c>
    </row>
    <row r="116" customFormat="false" ht="15" hidden="false" customHeight="false" outlineLevel="0" collapsed="false">
      <c r="A116" s="51"/>
      <c r="B116" s="65"/>
      <c r="C116" s="51"/>
      <c r="D116" s="51"/>
      <c r="E116" s="76"/>
      <c r="F116" s="66" t="str">
        <f aca="false">IF(C116="","",IFERROR(1/(1/INDEX(Clients!$H$6:$H$25,MATCH(C116,Clients!$B$6:$B$25,0))),Settings!$C$10))</f>
        <v/>
      </c>
      <c r="G116" s="77" t="str">
        <f aca="false">IF(OR(B116="",F116=""),"",B116+F116)</f>
        <v/>
      </c>
      <c r="H116" s="65"/>
      <c r="I116" s="76"/>
      <c r="J116" s="51"/>
      <c r="K116" s="73" t="str">
        <f aca="false">IF(E116="","",E116-N(I116))</f>
        <v/>
      </c>
      <c r="L116" s="78" t="str">
        <f aca="true">IF(E116="","",IF(K116&lt;=0,"Paid",IF(AND(G116&lt;&gt;"",TODAY()&gt;G116),"Overdue",IF(N(I116)&gt;0,"Partial","Open"))))</f>
        <v/>
      </c>
      <c r="M116" s="66" t="str">
        <f aca="true">IF(OR(E116="",G116=""),"",IF(K116&lt;=0,IF(H116="","",MAX(0,H116-G116)),MAX(0,TODAY()-G116)))</f>
        <v/>
      </c>
      <c r="N116" s="78" t="str">
        <f aca="true">IF(OR(E116="",G116=""),"",IF(K116&lt;=0,"",IF(TODAY()&lt;=G116,"Not due yet",IF(TODAY()-G116&lt;=30,"1-30 days late",IF(TODAY()-G116&lt;=60,"31-60 days late",IF(TODAY()-G116&lt;=90,"61-90 days late","90+ days late"))))))</f>
        <v/>
      </c>
      <c r="O116" s="66" t="str">
        <f aca="false">IF(OR(H116="",B116="",K116&gt;0),"",H116-B116)</f>
        <v/>
      </c>
    </row>
    <row r="117" customFormat="false" ht="15" hidden="false" customHeight="false" outlineLevel="0" collapsed="false">
      <c r="A117" s="51"/>
      <c r="B117" s="65"/>
      <c r="C117" s="51"/>
      <c r="D117" s="51"/>
      <c r="E117" s="76"/>
      <c r="F117" s="66" t="str">
        <f aca="false">IF(C117="","",IFERROR(1/(1/INDEX(Clients!$H$6:$H$25,MATCH(C117,Clients!$B$6:$B$25,0))),Settings!$C$10))</f>
        <v/>
      </c>
      <c r="G117" s="77" t="str">
        <f aca="false">IF(OR(B117="",F117=""),"",B117+F117)</f>
        <v/>
      </c>
      <c r="H117" s="65"/>
      <c r="I117" s="76"/>
      <c r="J117" s="51"/>
      <c r="K117" s="73" t="str">
        <f aca="false">IF(E117="","",E117-N(I117))</f>
        <v/>
      </c>
      <c r="L117" s="78" t="str">
        <f aca="true">IF(E117="","",IF(K117&lt;=0,"Paid",IF(AND(G117&lt;&gt;"",TODAY()&gt;G117),"Overdue",IF(N(I117)&gt;0,"Partial","Open"))))</f>
        <v/>
      </c>
      <c r="M117" s="66" t="str">
        <f aca="true">IF(OR(E117="",G117=""),"",IF(K117&lt;=0,IF(H117="","",MAX(0,H117-G117)),MAX(0,TODAY()-G117)))</f>
        <v/>
      </c>
      <c r="N117" s="78" t="str">
        <f aca="true">IF(OR(E117="",G117=""),"",IF(K117&lt;=0,"",IF(TODAY()&lt;=G117,"Not due yet",IF(TODAY()-G117&lt;=30,"1-30 days late",IF(TODAY()-G117&lt;=60,"31-60 days late",IF(TODAY()-G117&lt;=90,"61-90 days late","90+ days late"))))))</f>
        <v/>
      </c>
      <c r="O117" s="66" t="str">
        <f aca="false">IF(OR(H117="",B117="",K117&gt;0),"",H117-B117)</f>
        <v/>
      </c>
    </row>
    <row r="118" customFormat="false" ht="15" hidden="false" customHeight="false" outlineLevel="0" collapsed="false">
      <c r="A118" s="51"/>
      <c r="B118" s="65"/>
      <c r="C118" s="51"/>
      <c r="D118" s="51"/>
      <c r="E118" s="76"/>
      <c r="F118" s="66" t="str">
        <f aca="false">IF(C118="","",IFERROR(1/(1/INDEX(Clients!$H$6:$H$25,MATCH(C118,Clients!$B$6:$B$25,0))),Settings!$C$10))</f>
        <v/>
      </c>
      <c r="G118" s="77" t="str">
        <f aca="false">IF(OR(B118="",F118=""),"",B118+F118)</f>
        <v/>
      </c>
      <c r="H118" s="65"/>
      <c r="I118" s="76"/>
      <c r="J118" s="51"/>
      <c r="K118" s="73" t="str">
        <f aca="false">IF(E118="","",E118-N(I118))</f>
        <v/>
      </c>
      <c r="L118" s="78" t="str">
        <f aca="true">IF(E118="","",IF(K118&lt;=0,"Paid",IF(AND(G118&lt;&gt;"",TODAY()&gt;G118),"Overdue",IF(N(I118)&gt;0,"Partial","Open"))))</f>
        <v/>
      </c>
      <c r="M118" s="66" t="str">
        <f aca="true">IF(OR(E118="",G118=""),"",IF(K118&lt;=0,IF(H118="","",MAX(0,H118-G118)),MAX(0,TODAY()-G118)))</f>
        <v/>
      </c>
      <c r="N118" s="78" t="str">
        <f aca="true">IF(OR(E118="",G118=""),"",IF(K118&lt;=0,"",IF(TODAY()&lt;=G118,"Not due yet",IF(TODAY()-G118&lt;=30,"1-30 days late",IF(TODAY()-G118&lt;=60,"31-60 days late",IF(TODAY()-G118&lt;=90,"61-90 days late","90+ days late"))))))</f>
        <v/>
      </c>
      <c r="O118" s="66" t="str">
        <f aca="false">IF(OR(H118="",B118="",K118&gt;0),"",H118-B118)</f>
        <v/>
      </c>
    </row>
    <row r="119" customFormat="false" ht="15" hidden="false" customHeight="false" outlineLevel="0" collapsed="false">
      <c r="A119" s="51"/>
      <c r="B119" s="65"/>
      <c r="C119" s="51"/>
      <c r="D119" s="51"/>
      <c r="E119" s="76"/>
      <c r="F119" s="66" t="str">
        <f aca="false">IF(C119="","",IFERROR(1/(1/INDEX(Clients!$H$6:$H$25,MATCH(C119,Clients!$B$6:$B$25,0))),Settings!$C$10))</f>
        <v/>
      </c>
      <c r="G119" s="77" t="str">
        <f aca="false">IF(OR(B119="",F119=""),"",B119+F119)</f>
        <v/>
      </c>
      <c r="H119" s="65"/>
      <c r="I119" s="76"/>
      <c r="J119" s="51"/>
      <c r="K119" s="73" t="str">
        <f aca="false">IF(E119="","",E119-N(I119))</f>
        <v/>
      </c>
      <c r="L119" s="78" t="str">
        <f aca="true">IF(E119="","",IF(K119&lt;=0,"Paid",IF(AND(G119&lt;&gt;"",TODAY()&gt;G119),"Overdue",IF(N(I119)&gt;0,"Partial","Open"))))</f>
        <v/>
      </c>
      <c r="M119" s="66" t="str">
        <f aca="true">IF(OR(E119="",G119=""),"",IF(K119&lt;=0,IF(H119="","",MAX(0,H119-G119)),MAX(0,TODAY()-G119)))</f>
        <v/>
      </c>
      <c r="N119" s="78" t="str">
        <f aca="true">IF(OR(E119="",G119=""),"",IF(K119&lt;=0,"",IF(TODAY()&lt;=G119,"Not due yet",IF(TODAY()-G119&lt;=30,"1-30 days late",IF(TODAY()-G119&lt;=60,"31-60 days late",IF(TODAY()-G119&lt;=90,"61-90 days late","90+ days late"))))))</f>
        <v/>
      </c>
      <c r="O119" s="66" t="str">
        <f aca="false">IF(OR(H119="",B119="",K119&gt;0),"",H119-B119)</f>
        <v/>
      </c>
    </row>
    <row r="120" customFormat="false" ht="15" hidden="false" customHeight="false" outlineLevel="0" collapsed="false">
      <c r="A120" s="51"/>
      <c r="B120" s="65"/>
      <c r="C120" s="51"/>
      <c r="D120" s="51"/>
      <c r="E120" s="76"/>
      <c r="F120" s="66" t="str">
        <f aca="false">IF(C120="","",IFERROR(1/(1/INDEX(Clients!$H$6:$H$25,MATCH(C120,Clients!$B$6:$B$25,0))),Settings!$C$10))</f>
        <v/>
      </c>
      <c r="G120" s="77" t="str">
        <f aca="false">IF(OR(B120="",F120=""),"",B120+F120)</f>
        <v/>
      </c>
      <c r="H120" s="65"/>
      <c r="I120" s="76"/>
      <c r="J120" s="51"/>
      <c r="K120" s="73" t="str">
        <f aca="false">IF(E120="","",E120-N(I120))</f>
        <v/>
      </c>
      <c r="L120" s="78" t="str">
        <f aca="true">IF(E120="","",IF(K120&lt;=0,"Paid",IF(AND(G120&lt;&gt;"",TODAY()&gt;G120),"Overdue",IF(N(I120)&gt;0,"Partial","Open"))))</f>
        <v/>
      </c>
      <c r="M120" s="66" t="str">
        <f aca="true">IF(OR(E120="",G120=""),"",IF(K120&lt;=0,IF(H120="","",MAX(0,H120-G120)),MAX(0,TODAY()-G120)))</f>
        <v/>
      </c>
      <c r="N120" s="78" t="str">
        <f aca="true">IF(OR(E120="",G120=""),"",IF(K120&lt;=0,"",IF(TODAY()&lt;=G120,"Not due yet",IF(TODAY()-G120&lt;=30,"1-30 days late",IF(TODAY()-G120&lt;=60,"31-60 days late",IF(TODAY()-G120&lt;=90,"61-90 days late","90+ days late"))))))</f>
        <v/>
      </c>
      <c r="O120" s="66" t="str">
        <f aca="false">IF(OR(H120="",B120="",K120&gt;0),"",H120-B120)</f>
        <v/>
      </c>
    </row>
    <row r="121" customFormat="false" ht="15" hidden="false" customHeight="false" outlineLevel="0" collapsed="false">
      <c r="A121" s="51"/>
      <c r="B121" s="65"/>
      <c r="C121" s="51"/>
      <c r="D121" s="51"/>
      <c r="E121" s="76"/>
      <c r="F121" s="66" t="str">
        <f aca="false">IF(C121="","",IFERROR(1/(1/INDEX(Clients!$H$6:$H$25,MATCH(C121,Clients!$B$6:$B$25,0))),Settings!$C$10))</f>
        <v/>
      </c>
      <c r="G121" s="77" t="str">
        <f aca="false">IF(OR(B121="",F121=""),"",B121+F121)</f>
        <v/>
      </c>
      <c r="H121" s="65"/>
      <c r="I121" s="76"/>
      <c r="J121" s="51"/>
      <c r="K121" s="73" t="str">
        <f aca="false">IF(E121="","",E121-N(I121))</f>
        <v/>
      </c>
      <c r="L121" s="78" t="str">
        <f aca="true">IF(E121="","",IF(K121&lt;=0,"Paid",IF(AND(G121&lt;&gt;"",TODAY()&gt;G121),"Overdue",IF(N(I121)&gt;0,"Partial","Open"))))</f>
        <v/>
      </c>
      <c r="M121" s="66" t="str">
        <f aca="true">IF(OR(E121="",G121=""),"",IF(K121&lt;=0,IF(H121="","",MAX(0,H121-G121)),MAX(0,TODAY()-G121)))</f>
        <v/>
      </c>
      <c r="N121" s="78" t="str">
        <f aca="true">IF(OR(E121="",G121=""),"",IF(K121&lt;=0,"",IF(TODAY()&lt;=G121,"Not due yet",IF(TODAY()-G121&lt;=30,"1-30 days late",IF(TODAY()-G121&lt;=60,"31-60 days late",IF(TODAY()-G121&lt;=90,"61-90 days late","90+ days late"))))))</f>
        <v/>
      </c>
      <c r="O121" s="66" t="str">
        <f aca="false">IF(OR(H121="",B121="",K121&gt;0),"",H121-B121)</f>
        <v/>
      </c>
    </row>
    <row r="122" customFormat="false" ht="15" hidden="false" customHeight="false" outlineLevel="0" collapsed="false">
      <c r="A122" s="51"/>
      <c r="B122" s="65"/>
      <c r="C122" s="51"/>
      <c r="D122" s="51"/>
      <c r="E122" s="76"/>
      <c r="F122" s="66" t="str">
        <f aca="false">IF(C122="","",IFERROR(1/(1/INDEX(Clients!$H$6:$H$25,MATCH(C122,Clients!$B$6:$B$25,0))),Settings!$C$10))</f>
        <v/>
      </c>
      <c r="G122" s="77" t="str">
        <f aca="false">IF(OR(B122="",F122=""),"",B122+F122)</f>
        <v/>
      </c>
      <c r="H122" s="65"/>
      <c r="I122" s="76"/>
      <c r="J122" s="51"/>
      <c r="K122" s="73" t="str">
        <f aca="false">IF(E122="","",E122-N(I122))</f>
        <v/>
      </c>
      <c r="L122" s="78" t="str">
        <f aca="true">IF(E122="","",IF(K122&lt;=0,"Paid",IF(AND(G122&lt;&gt;"",TODAY()&gt;G122),"Overdue",IF(N(I122)&gt;0,"Partial","Open"))))</f>
        <v/>
      </c>
      <c r="M122" s="66" t="str">
        <f aca="true">IF(OR(E122="",G122=""),"",IF(K122&lt;=0,IF(H122="","",MAX(0,H122-G122)),MAX(0,TODAY()-G122)))</f>
        <v/>
      </c>
      <c r="N122" s="78" t="str">
        <f aca="true">IF(OR(E122="",G122=""),"",IF(K122&lt;=0,"",IF(TODAY()&lt;=G122,"Not due yet",IF(TODAY()-G122&lt;=30,"1-30 days late",IF(TODAY()-G122&lt;=60,"31-60 days late",IF(TODAY()-G122&lt;=90,"61-90 days late","90+ days late"))))))</f>
        <v/>
      </c>
      <c r="O122" s="66" t="str">
        <f aca="false">IF(OR(H122="",B122="",K122&gt;0),"",H122-B122)</f>
        <v/>
      </c>
    </row>
    <row r="123" customFormat="false" ht="15" hidden="false" customHeight="false" outlineLevel="0" collapsed="false">
      <c r="A123" s="51"/>
      <c r="B123" s="65"/>
      <c r="C123" s="51"/>
      <c r="D123" s="51"/>
      <c r="E123" s="76"/>
      <c r="F123" s="66" t="str">
        <f aca="false">IF(C123="","",IFERROR(1/(1/INDEX(Clients!$H$6:$H$25,MATCH(C123,Clients!$B$6:$B$25,0))),Settings!$C$10))</f>
        <v/>
      </c>
      <c r="G123" s="77" t="str">
        <f aca="false">IF(OR(B123="",F123=""),"",B123+F123)</f>
        <v/>
      </c>
      <c r="H123" s="65"/>
      <c r="I123" s="76"/>
      <c r="J123" s="51"/>
      <c r="K123" s="73" t="str">
        <f aca="false">IF(E123="","",E123-N(I123))</f>
        <v/>
      </c>
      <c r="L123" s="78" t="str">
        <f aca="true">IF(E123="","",IF(K123&lt;=0,"Paid",IF(AND(G123&lt;&gt;"",TODAY()&gt;G123),"Overdue",IF(N(I123)&gt;0,"Partial","Open"))))</f>
        <v/>
      </c>
      <c r="M123" s="66" t="str">
        <f aca="true">IF(OR(E123="",G123=""),"",IF(K123&lt;=0,IF(H123="","",MAX(0,H123-G123)),MAX(0,TODAY()-G123)))</f>
        <v/>
      </c>
      <c r="N123" s="78" t="str">
        <f aca="true">IF(OR(E123="",G123=""),"",IF(K123&lt;=0,"",IF(TODAY()&lt;=G123,"Not due yet",IF(TODAY()-G123&lt;=30,"1-30 days late",IF(TODAY()-G123&lt;=60,"31-60 days late",IF(TODAY()-G123&lt;=90,"61-90 days late","90+ days late"))))))</f>
        <v/>
      </c>
      <c r="O123" s="66" t="str">
        <f aca="false">IF(OR(H123="",B123="",K123&gt;0),"",H123-B123)</f>
        <v/>
      </c>
    </row>
    <row r="124" customFormat="false" ht="15" hidden="false" customHeight="false" outlineLevel="0" collapsed="false">
      <c r="A124" s="51"/>
      <c r="B124" s="65"/>
      <c r="C124" s="51"/>
      <c r="D124" s="51"/>
      <c r="E124" s="76"/>
      <c r="F124" s="66" t="str">
        <f aca="false">IF(C124="","",IFERROR(1/(1/INDEX(Clients!$H$6:$H$25,MATCH(C124,Clients!$B$6:$B$25,0))),Settings!$C$10))</f>
        <v/>
      </c>
      <c r="G124" s="77" t="str">
        <f aca="false">IF(OR(B124="",F124=""),"",B124+F124)</f>
        <v/>
      </c>
      <c r="H124" s="65"/>
      <c r="I124" s="76"/>
      <c r="J124" s="51"/>
      <c r="K124" s="73" t="str">
        <f aca="false">IF(E124="","",E124-N(I124))</f>
        <v/>
      </c>
      <c r="L124" s="78" t="str">
        <f aca="true">IF(E124="","",IF(K124&lt;=0,"Paid",IF(AND(G124&lt;&gt;"",TODAY()&gt;G124),"Overdue",IF(N(I124)&gt;0,"Partial","Open"))))</f>
        <v/>
      </c>
      <c r="M124" s="66" t="str">
        <f aca="true">IF(OR(E124="",G124=""),"",IF(K124&lt;=0,IF(H124="","",MAX(0,H124-G124)),MAX(0,TODAY()-G124)))</f>
        <v/>
      </c>
      <c r="N124" s="78" t="str">
        <f aca="true">IF(OR(E124="",G124=""),"",IF(K124&lt;=0,"",IF(TODAY()&lt;=G124,"Not due yet",IF(TODAY()-G124&lt;=30,"1-30 days late",IF(TODAY()-G124&lt;=60,"31-60 days late",IF(TODAY()-G124&lt;=90,"61-90 days late","90+ days late"))))))</f>
        <v/>
      </c>
      <c r="O124" s="66" t="str">
        <f aca="false">IF(OR(H124="",B124="",K124&gt;0),"",H124-B124)</f>
        <v/>
      </c>
    </row>
    <row r="125" customFormat="false" ht="15" hidden="false" customHeight="false" outlineLevel="0" collapsed="false">
      <c r="A125" s="51"/>
      <c r="B125" s="65"/>
      <c r="C125" s="51"/>
      <c r="D125" s="51"/>
      <c r="E125" s="76"/>
      <c r="F125" s="66" t="str">
        <f aca="false">IF(C125="","",IFERROR(1/(1/INDEX(Clients!$H$6:$H$25,MATCH(C125,Clients!$B$6:$B$25,0))),Settings!$C$10))</f>
        <v/>
      </c>
      <c r="G125" s="77" t="str">
        <f aca="false">IF(OR(B125="",F125=""),"",B125+F125)</f>
        <v/>
      </c>
      <c r="H125" s="65"/>
      <c r="I125" s="76"/>
      <c r="J125" s="51"/>
      <c r="K125" s="73" t="str">
        <f aca="false">IF(E125="","",E125-N(I125))</f>
        <v/>
      </c>
      <c r="L125" s="78" t="str">
        <f aca="true">IF(E125="","",IF(K125&lt;=0,"Paid",IF(AND(G125&lt;&gt;"",TODAY()&gt;G125),"Overdue",IF(N(I125)&gt;0,"Partial","Open"))))</f>
        <v/>
      </c>
      <c r="M125" s="66" t="str">
        <f aca="true">IF(OR(E125="",G125=""),"",IF(K125&lt;=0,IF(H125="","",MAX(0,H125-G125)),MAX(0,TODAY()-G125)))</f>
        <v/>
      </c>
      <c r="N125" s="78" t="str">
        <f aca="true">IF(OR(E125="",G125=""),"",IF(K125&lt;=0,"",IF(TODAY()&lt;=G125,"Not due yet",IF(TODAY()-G125&lt;=30,"1-30 days late",IF(TODAY()-G125&lt;=60,"31-60 days late",IF(TODAY()-G125&lt;=90,"61-90 days late","90+ days late"))))))</f>
        <v/>
      </c>
      <c r="O125" s="66" t="str">
        <f aca="false">IF(OR(H125="",B125="",K125&gt;0),"",H125-B125)</f>
        <v/>
      </c>
    </row>
    <row r="126" customFormat="false" ht="15" hidden="false" customHeight="false" outlineLevel="0" collapsed="false">
      <c r="A126" s="51"/>
      <c r="B126" s="65"/>
      <c r="C126" s="51"/>
      <c r="D126" s="51"/>
      <c r="E126" s="76"/>
      <c r="F126" s="66" t="str">
        <f aca="false">IF(C126="","",IFERROR(1/(1/INDEX(Clients!$H$6:$H$25,MATCH(C126,Clients!$B$6:$B$25,0))),Settings!$C$10))</f>
        <v/>
      </c>
      <c r="G126" s="77" t="str">
        <f aca="false">IF(OR(B126="",F126=""),"",B126+F126)</f>
        <v/>
      </c>
      <c r="H126" s="65"/>
      <c r="I126" s="76"/>
      <c r="J126" s="51"/>
      <c r="K126" s="73" t="str">
        <f aca="false">IF(E126="","",E126-N(I126))</f>
        <v/>
      </c>
      <c r="L126" s="78" t="str">
        <f aca="true">IF(E126="","",IF(K126&lt;=0,"Paid",IF(AND(G126&lt;&gt;"",TODAY()&gt;G126),"Overdue",IF(N(I126)&gt;0,"Partial","Open"))))</f>
        <v/>
      </c>
      <c r="M126" s="66" t="str">
        <f aca="true">IF(OR(E126="",G126=""),"",IF(K126&lt;=0,IF(H126="","",MAX(0,H126-G126)),MAX(0,TODAY()-G126)))</f>
        <v/>
      </c>
      <c r="N126" s="78" t="str">
        <f aca="true">IF(OR(E126="",G126=""),"",IF(K126&lt;=0,"",IF(TODAY()&lt;=G126,"Not due yet",IF(TODAY()-G126&lt;=30,"1-30 days late",IF(TODAY()-G126&lt;=60,"31-60 days late",IF(TODAY()-G126&lt;=90,"61-90 days late","90+ days late"))))))</f>
        <v/>
      </c>
      <c r="O126" s="66" t="str">
        <f aca="false">IF(OR(H126="",B126="",K126&gt;0),"",H126-B126)</f>
        <v/>
      </c>
    </row>
    <row r="127" customFormat="false" ht="15" hidden="false" customHeight="false" outlineLevel="0" collapsed="false">
      <c r="A127" s="51"/>
      <c r="B127" s="65"/>
      <c r="C127" s="51"/>
      <c r="D127" s="51"/>
      <c r="E127" s="76"/>
      <c r="F127" s="66" t="str">
        <f aca="false">IF(C127="","",IFERROR(1/(1/INDEX(Clients!$H$6:$H$25,MATCH(C127,Clients!$B$6:$B$25,0))),Settings!$C$10))</f>
        <v/>
      </c>
      <c r="G127" s="77" t="str">
        <f aca="false">IF(OR(B127="",F127=""),"",B127+F127)</f>
        <v/>
      </c>
      <c r="H127" s="65"/>
      <c r="I127" s="76"/>
      <c r="J127" s="51"/>
      <c r="K127" s="73" t="str">
        <f aca="false">IF(E127="","",E127-N(I127))</f>
        <v/>
      </c>
      <c r="L127" s="78" t="str">
        <f aca="true">IF(E127="","",IF(K127&lt;=0,"Paid",IF(AND(G127&lt;&gt;"",TODAY()&gt;G127),"Overdue",IF(N(I127)&gt;0,"Partial","Open"))))</f>
        <v/>
      </c>
      <c r="M127" s="66" t="str">
        <f aca="true">IF(OR(E127="",G127=""),"",IF(K127&lt;=0,IF(H127="","",MAX(0,H127-G127)),MAX(0,TODAY()-G127)))</f>
        <v/>
      </c>
      <c r="N127" s="78" t="str">
        <f aca="true">IF(OR(E127="",G127=""),"",IF(K127&lt;=0,"",IF(TODAY()&lt;=G127,"Not due yet",IF(TODAY()-G127&lt;=30,"1-30 days late",IF(TODAY()-G127&lt;=60,"31-60 days late",IF(TODAY()-G127&lt;=90,"61-90 days late","90+ days late"))))))</f>
        <v/>
      </c>
      <c r="O127" s="66" t="str">
        <f aca="false">IF(OR(H127="",B127="",K127&gt;0),"",H127-B127)</f>
        <v/>
      </c>
    </row>
    <row r="128" customFormat="false" ht="15" hidden="false" customHeight="false" outlineLevel="0" collapsed="false">
      <c r="A128" s="51"/>
      <c r="B128" s="65"/>
      <c r="C128" s="51"/>
      <c r="D128" s="51"/>
      <c r="E128" s="76"/>
      <c r="F128" s="66" t="str">
        <f aca="false">IF(C128="","",IFERROR(1/(1/INDEX(Clients!$H$6:$H$25,MATCH(C128,Clients!$B$6:$B$25,0))),Settings!$C$10))</f>
        <v/>
      </c>
      <c r="G128" s="77" t="str">
        <f aca="false">IF(OR(B128="",F128=""),"",B128+F128)</f>
        <v/>
      </c>
      <c r="H128" s="65"/>
      <c r="I128" s="76"/>
      <c r="J128" s="51"/>
      <c r="K128" s="73" t="str">
        <f aca="false">IF(E128="","",E128-N(I128))</f>
        <v/>
      </c>
      <c r="L128" s="78" t="str">
        <f aca="true">IF(E128="","",IF(K128&lt;=0,"Paid",IF(AND(G128&lt;&gt;"",TODAY()&gt;G128),"Overdue",IF(N(I128)&gt;0,"Partial","Open"))))</f>
        <v/>
      </c>
      <c r="M128" s="66" t="str">
        <f aca="true">IF(OR(E128="",G128=""),"",IF(K128&lt;=0,IF(H128="","",MAX(0,H128-G128)),MAX(0,TODAY()-G128)))</f>
        <v/>
      </c>
      <c r="N128" s="78" t="str">
        <f aca="true">IF(OR(E128="",G128=""),"",IF(K128&lt;=0,"",IF(TODAY()&lt;=G128,"Not due yet",IF(TODAY()-G128&lt;=30,"1-30 days late",IF(TODAY()-G128&lt;=60,"31-60 days late",IF(TODAY()-G128&lt;=90,"61-90 days late","90+ days late"))))))</f>
        <v/>
      </c>
      <c r="O128" s="66" t="str">
        <f aca="false">IF(OR(H128="",B128="",K128&gt;0),"",H128-B128)</f>
        <v/>
      </c>
    </row>
    <row r="129" customFormat="false" ht="15" hidden="false" customHeight="false" outlineLevel="0" collapsed="false">
      <c r="A129" s="51"/>
      <c r="B129" s="65"/>
      <c r="C129" s="51"/>
      <c r="D129" s="51"/>
      <c r="E129" s="76"/>
      <c r="F129" s="66" t="str">
        <f aca="false">IF(C129="","",IFERROR(1/(1/INDEX(Clients!$H$6:$H$25,MATCH(C129,Clients!$B$6:$B$25,0))),Settings!$C$10))</f>
        <v/>
      </c>
      <c r="G129" s="77" t="str">
        <f aca="false">IF(OR(B129="",F129=""),"",B129+F129)</f>
        <v/>
      </c>
      <c r="H129" s="65"/>
      <c r="I129" s="76"/>
      <c r="J129" s="51"/>
      <c r="K129" s="73" t="str">
        <f aca="false">IF(E129="","",E129-N(I129))</f>
        <v/>
      </c>
      <c r="L129" s="78" t="str">
        <f aca="true">IF(E129="","",IF(K129&lt;=0,"Paid",IF(AND(G129&lt;&gt;"",TODAY()&gt;G129),"Overdue",IF(N(I129)&gt;0,"Partial","Open"))))</f>
        <v/>
      </c>
      <c r="M129" s="66" t="str">
        <f aca="true">IF(OR(E129="",G129=""),"",IF(K129&lt;=0,IF(H129="","",MAX(0,H129-G129)),MAX(0,TODAY()-G129)))</f>
        <v/>
      </c>
      <c r="N129" s="78" t="str">
        <f aca="true">IF(OR(E129="",G129=""),"",IF(K129&lt;=0,"",IF(TODAY()&lt;=G129,"Not due yet",IF(TODAY()-G129&lt;=30,"1-30 days late",IF(TODAY()-G129&lt;=60,"31-60 days late",IF(TODAY()-G129&lt;=90,"61-90 days late","90+ days late"))))))</f>
        <v/>
      </c>
      <c r="O129" s="66" t="str">
        <f aca="false">IF(OR(H129="",B129="",K129&gt;0),"",H129-B129)</f>
        <v/>
      </c>
    </row>
    <row r="130" customFormat="false" ht="15" hidden="false" customHeight="false" outlineLevel="0" collapsed="false">
      <c r="A130" s="51"/>
      <c r="B130" s="65"/>
      <c r="C130" s="51"/>
      <c r="D130" s="51"/>
      <c r="E130" s="76"/>
      <c r="F130" s="66" t="str">
        <f aca="false">IF(C130="","",IFERROR(1/(1/INDEX(Clients!$H$6:$H$25,MATCH(C130,Clients!$B$6:$B$25,0))),Settings!$C$10))</f>
        <v/>
      </c>
      <c r="G130" s="77" t="str">
        <f aca="false">IF(OR(B130="",F130=""),"",B130+F130)</f>
        <v/>
      </c>
      <c r="H130" s="65"/>
      <c r="I130" s="76"/>
      <c r="J130" s="51"/>
      <c r="K130" s="73" t="str">
        <f aca="false">IF(E130="","",E130-N(I130))</f>
        <v/>
      </c>
      <c r="L130" s="78" t="str">
        <f aca="true">IF(E130="","",IF(K130&lt;=0,"Paid",IF(AND(G130&lt;&gt;"",TODAY()&gt;G130),"Overdue",IF(N(I130)&gt;0,"Partial","Open"))))</f>
        <v/>
      </c>
      <c r="M130" s="66" t="str">
        <f aca="true">IF(OR(E130="",G130=""),"",IF(K130&lt;=0,IF(H130="","",MAX(0,H130-G130)),MAX(0,TODAY()-G130)))</f>
        <v/>
      </c>
      <c r="N130" s="78" t="str">
        <f aca="true">IF(OR(E130="",G130=""),"",IF(K130&lt;=0,"",IF(TODAY()&lt;=G130,"Not due yet",IF(TODAY()-G130&lt;=30,"1-30 days late",IF(TODAY()-G130&lt;=60,"31-60 days late",IF(TODAY()-G130&lt;=90,"61-90 days late","90+ days late"))))))</f>
        <v/>
      </c>
      <c r="O130" s="66" t="str">
        <f aca="false">IF(OR(H130="",B130="",K130&gt;0),"",H130-B130)</f>
        <v/>
      </c>
    </row>
    <row r="131" customFormat="false" ht="15" hidden="false" customHeight="false" outlineLevel="0" collapsed="false">
      <c r="A131" s="51"/>
      <c r="B131" s="65"/>
      <c r="C131" s="51"/>
      <c r="D131" s="51"/>
      <c r="E131" s="76"/>
      <c r="F131" s="66" t="str">
        <f aca="false">IF(C131="","",IFERROR(1/(1/INDEX(Clients!$H$6:$H$25,MATCH(C131,Clients!$B$6:$B$25,0))),Settings!$C$10))</f>
        <v/>
      </c>
      <c r="G131" s="77" t="str">
        <f aca="false">IF(OR(B131="",F131=""),"",B131+F131)</f>
        <v/>
      </c>
      <c r="H131" s="65"/>
      <c r="I131" s="76"/>
      <c r="J131" s="51"/>
      <c r="K131" s="73" t="str">
        <f aca="false">IF(E131="","",E131-N(I131))</f>
        <v/>
      </c>
      <c r="L131" s="78" t="str">
        <f aca="true">IF(E131="","",IF(K131&lt;=0,"Paid",IF(AND(G131&lt;&gt;"",TODAY()&gt;G131),"Overdue",IF(N(I131)&gt;0,"Partial","Open"))))</f>
        <v/>
      </c>
      <c r="M131" s="66" t="str">
        <f aca="true">IF(OR(E131="",G131=""),"",IF(K131&lt;=0,IF(H131="","",MAX(0,H131-G131)),MAX(0,TODAY()-G131)))</f>
        <v/>
      </c>
      <c r="N131" s="78" t="str">
        <f aca="true">IF(OR(E131="",G131=""),"",IF(K131&lt;=0,"",IF(TODAY()&lt;=G131,"Not due yet",IF(TODAY()-G131&lt;=30,"1-30 days late",IF(TODAY()-G131&lt;=60,"31-60 days late",IF(TODAY()-G131&lt;=90,"61-90 days late","90+ days late"))))))</f>
        <v/>
      </c>
      <c r="O131" s="66" t="str">
        <f aca="false">IF(OR(H131="",B131="",K131&gt;0),"",H131-B131)</f>
        <v/>
      </c>
    </row>
    <row r="132" customFormat="false" ht="15" hidden="false" customHeight="false" outlineLevel="0" collapsed="false">
      <c r="A132" s="51"/>
      <c r="B132" s="65"/>
      <c r="C132" s="51"/>
      <c r="D132" s="51"/>
      <c r="E132" s="76"/>
      <c r="F132" s="66" t="str">
        <f aca="false">IF(C132="","",IFERROR(1/(1/INDEX(Clients!$H$6:$H$25,MATCH(C132,Clients!$B$6:$B$25,0))),Settings!$C$10))</f>
        <v/>
      </c>
      <c r="G132" s="77" t="str">
        <f aca="false">IF(OR(B132="",F132=""),"",B132+F132)</f>
        <v/>
      </c>
      <c r="H132" s="65"/>
      <c r="I132" s="76"/>
      <c r="J132" s="51"/>
      <c r="K132" s="73" t="str">
        <f aca="false">IF(E132="","",E132-N(I132))</f>
        <v/>
      </c>
      <c r="L132" s="78" t="str">
        <f aca="true">IF(E132="","",IF(K132&lt;=0,"Paid",IF(AND(G132&lt;&gt;"",TODAY()&gt;G132),"Overdue",IF(N(I132)&gt;0,"Partial","Open"))))</f>
        <v/>
      </c>
      <c r="M132" s="66" t="str">
        <f aca="true">IF(OR(E132="",G132=""),"",IF(K132&lt;=0,IF(H132="","",MAX(0,H132-G132)),MAX(0,TODAY()-G132)))</f>
        <v/>
      </c>
      <c r="N132" s="78" t="str">
        <f aca="true">IF(OR(E132="",G132=""),"",IF(K132&lt;=0,"",IF(TODAY()&lt;=G132,"Not due yet",IF(TODAY()-G132&lt;=30,"1-30 days late",IF(TODAY()-G132&lt;=60,"31-60 days late",IF(TODAY()-G132&lt;=90,"61-90 days late","90+ days late"))))))</f>
        <v/>
      </c>
      <c r="O132" s="66" t="str">
        <f aca="false">IF(OR(H132="",B132="",K132&gt;0),"",H132-B132)</f>
        <v/>
      </c>
    </row>
    <row r="133" customFormat="false" ht="15" hidden="false" customHeight="false" outlineLevel="0" collapsed="false">
      <c r="A133" s="51"/>
      <c r="B133" s="65"/>
      <c r="C133" s="51"/>
      <c r="D133" s="51"/>
      <c r="E133" s="76"/>
      <c r="F133" s="66" t="str">
        <f aca="false">IF(C133="","",IFERROR(1/(1/INDEX(Clients!$H$6:$H$25,MATCH(C133,Clients!$B$6:$B$25,0))),Settings!$C$10))</f>
        <v/>
      </c>
      <c r="G133" s="77" t="str">
        <f aca="false">IF(OR(B133="",F133=""),"",B133+F133)</f>
        <v/>
      </c>
      <c r="H133" s="65"/>
      <c r="I133" s="76"/>
      <c r="J133" s="51"/>
      <c r="K133" s="73" t="str">
        <f aca="false">IF(E133="","",E133-N(I133))</f>
        <v/>
      </c>
      <c r="L133" s="78" t="str">
        <f aca="true">IF(E133="","",IF(K133&lt;=0,"Paid",IF(AND(G133&lt;&gt;"",TODAY()&gt;G133),"Overdue",IF(N(I133)&gt;0,"Partial","Open"))))</f>
        <v/>
      </c>
      <c r="M133" s="66" t="str">
        <f aca="true">IF(OR(E133="",G133=""),"",IF(K133&lt;=0,IF(H133="","",MAX(0,H133-G133)),MAX(0,TODAY()-G133)))</f>
        <v/>
      </c>
      <c r="N133" s="78" t="str">
        <f aca="true">IF(OR(E133="",G133=""),"",IF(K133&lt;=0,"",IF(TODAY()&lt;=G133,"Not due yet",IF(TODAY()-G133&lt;=30,"1-30 days late",IF(TODAY()-G133&lt;=60,"31-60 days late",IF(TODAY()-G133&lt;=90,"61-90 days late","90+ days late"))))))</f>
        <v/>
      </c>
      <c r="O133" s="66" t="str">
        <f aca="false">IF(OR(H133="",B133="",K133&gt;0),"",H133-B133)</f>
        <v/>
      </c>
    </row>
    <row r="134" customFormat="false" ht="15" hidden="false" customHeight="false" outlineLevel="0" collapsed="false">
      <c r="A134" s="51"/>
      <c r="B134" s="65"/>
      <c r="C134" s="51"/>
      <c r="D134" s="51"/>
      <c r="E134" s="76"/>
      <c r="F134" s="66" t="str">
        <f aca="false">IF(C134="","",IFERROR(1/(1/INDEX(Clients!$H$6:$H$25,MATCH(C134,Clients!$B$6:$B$25,0))),Settings!$C$10))</f>
        <v/>
      </c>
      <c r="G134" s="77" t="str">
        <f aca="false">IF(OR(B134="",F134=""),"",B134+F134)</f>
        <v/>
      </c>
      <c r="H134" s="65"/>
      <c r="I134" s="76"/>
      <c r="J134" s="51"/>
      <c r="K134" s="73" t="str">
        <f aca="false">IF(E134="","",E134-N(I134))</f>
        <v/>
      </c>
      <c r="L134" s="78" t="str">
        <f aca="true">IF(E134="","",IF(K134&lt;=0,"Paid",IF(AND(G134&lt;&gt;"",TODAY()&gt;G134),"Overdue",IF(N(I134)&gt;0,"Partial","Open"))))</f>
        <v/>
      </c>
      <c r="M134" s="66" t="str">
        <f aca="true">IF(OR(E134="",G134=""),"",IF(K134&lt;=0,IF(H134="","",MAX(0,H134-G134)),MAX(0,TODAY()-G134)))</f>
        <v/>
      </c>
      <c r="N134" s="78" t="str">
        <f aca="true">IF(OR(E134="",G134=""),"",IF(K134&lt;=0,"",IF(TODAY()&lt;=G134,"Not due yet",IF(TODAY()-G134&lt;=30,"1-30 days late",IF(TODAY()-G134&lt;=60,"31-60 days late",IF(TODAY()-G134&lt;=90,"61-90 days late","90+ days late"))))))</f>
        <v/>
      </c>
      <c r="O134" s="66" t="str">
        <f aca="false">IF(OR(H134="",B134="",K134&gt;0),"",H134-B134)</f>
        <v/>
      </c>
    </row>
    <row r="135" customFormat="false" ht="15" hidden="false" customHeight="false" outlineLevel="0" collapsed="false">
      <c r="A135" s="51"/>
      <c r="B135" s="65"/>
      <c r="C135" s="51"/>
      <c r="D135" s="51"/>
      <c r="E135" s="76"/>
      <c r="F135" s="66" t="str">
        <f aca="false">IF(C135="","",IFERROR(1/(1/INDEX(Clients!$H$6:$H$25,MATCH(C135,Clients!$B$6:$B$25,0))),Settings!$C$10))</f>
        <v/>
      </c>
      <c r="G135" s="77" t="str">
        <f aca="false">IF(OR(B135="",F135=""),"",B135+F135)</f>
        <v/>
      </c>
      <c r="H135" s="65"/>
      <c r="I135" s="76"/>
      <c r="J135" s="51"/>
      <c r="K135" s="73" t="str">
        <f aca="false">IF(E135="","",E135-N(I135))</f>
        <v/>
      </c>
      <c r="L135" s="78" t="str">
        <f aca="true">IF(E135="","",IF(K135&lt;=0,"Paid",IF(AND(G135&lt;&gt;"",TODAY()&gt;G135),"Overdue",IF(N(I135)&gt;0,"Partial","Open"))))</f>
        <v/>
      </c>
      <c r="M135" s="66" t="str">
        <f aca="true">IF(OR(E135="",G135=""),"",IF(K135&lt;=0,IF(H135="","",MAX(0,H135-G135)),MAX(0,TODAY()-G135)))</f>
        <v/>
      </c>
      <c r="N135" s="78" t="str">
        <f aca="true">IF(OR(E135="",G135=""),"",IF(K135&lt;=0,"",IF(TODAY()&lt;=G135,"Not due yet",IF(TODAY()-G135&lt;=30,"1-30 days late",IF(TODAY()-G135&lt;=60,"31-60 days late",IF(TODAY()-G135&lt;=90,"61-90 days late","90+ days late"))))))</f>
        <v/>
      </c>
      <c r="O135" s="66" t="str">
        <f aca="false">IF(OR(H135="",B135="",K135&gt;0),"",H135-B135)</f>
        <v/>
      </c>
    </row>
    <row r="136" customFormat="false" ht="15" hidden="false" customHeight="false" outlineLevel="0" collapsed="false">
      <c r="A136" s="51"/>
      <c r="B136" s="65"/>
      <c r="C136" s="51"/>
      <c r="D136" s="51"/>
      <c r="E136" s="76"/>
      <c r="F136" s="66" t="str">
        <f aca="false">IF(C136="","",IFERROR(1/(1/INDEX(Clients!$H$6:$H$25,MATCH(C136,Clients!$B$6:$B$25,0))),Settings!$C$10))</f>
        <v/>
      </c>
      <c r="G136" s="77" t="str">
        <f aca="false">IF(OR(B136="",F136=""),"",B136+F136)</f>
        <v/>
      </c>
      <c r="H136" s="65"/>
      <c r="I136" s="76"/>
      <c r="J136" s="51"/>
      <c r="K136" s="73" t="str">
        <f aca="false">IF(E136="","",E136-N(I136))</f>
        <v/>
      </c>
      <c r="L136" s="78" t="str">
        <f aca="true">IF(E136="","",IF(K136&lt;=0,"Paid",IF(AND(G136&lt;&gt;"",TODAY()&gt;G136),"Overdue",IF(N(I136)&gt;0,"Partial","Open"))))</f>
        <v/>
      </c>
      <c r="M136" s="66" t="str">
        <f aca="true">IF(OR(E136="",G136=""),"",IF(K136&lt;=0,IF(H136="","",MAX(0,H136-G136)),MAX(0,TODAY()-G136)))</f>
        <v/>
      </c>
      <c r="N136" s="78" t="str">
        <f aca="true">IF(OR(E136="",G136=""),"",IF(K136&lt;=0,"",IF(TODAY()&lt;=G136,"Not due yet",IF(TODAY()-G136&lt;=30,"1-30 days late",IF(TODAY()-G136&lt;=60,"31-60 days late",IF(TODAY()-G136&lt;=90,"61-90 days late","90+ days late"))))))</f>
        <v/>
      </c>
      <c r="O136" s="66" t="str">
        <f aca="false">IF(OR(H136="",B136="",K136&gt;0),"",H136-B136)</f>
        <v/>
      </c>
    </row>
    <row r="137" customFormat="false" ht="15" hidden="false" customHeight="false" outlineLevel="0" collapsed="false">
      <c r="A137" s="51"/>
      <c r="B137" s="65"/>
      <c r="C137" s="51"/>
      <c r="D137" s="51"/>
      <c r="E137" s="76"/>
      <c r="F137" s="66" t="str">
        <f aca="false">IF(C137="","",IFERROR(1/(1/INDEX(Clients!$H$6:$H$25,MATCH(C137,Clients!$B$6:$B$25,0))),Settings!$C$10))</f>
        <v/>
      </c>
      <c r="G137" s="77" t="str">
        <f aca="false">IF(OR(B137="",F137=""),"",B137+F137)</f>
        <v/>
      </c>
      <c r="H137" s="65"/>
      <c r="I137" s="76"/>
      <c r="J137" s="51"/>
      <c r="K137" s="73" t="str">
        <f aca="false">IF(E137="","",E137-N(I137))</f>
        <v/>
      </c>
      <c r="L137" s="78" t="str">
        <f aca="true">IF(E137="","",IF(K137&lt;=0,"Paid",IF(AND(G137&lt;&gt;"",TODAY()&gt;G137),"Overdue",IF(N(I137)&gt;0,"Partial","Open"))))</f>
        <v/>
      </c>
      <c r="M137" s="66" t="str">
        <f aca="true">IF(OR(E137="",G137=""),"",IF(K137&lt;=0,IF(H137="","",MAX(0,H137-G137)),MAX(0,TODAY()-G137)))</f>
        <v/>
      </c>
      <c r="N137" s="78" t="str">
        <f aca="true">IF(OR(E137="",G137=""),"",IF(K137&lt;=0,"",IF(TODAY()&lt;=G137,"Not due yet",IF(TODAY()-G137&lt;=30,"1-30 days late",IF(TODAY()-G137&lt;=60,"31-60 days late",IF(TODAY()-G137&lt;=90,"61-90 days late","90+ days late"))))))</f>
        <v/>
      </c>
      <c r="O137" s="66" t="str">
        <f aca="false">IF(OR(H137="",B137="",K137&gt;0),"",H137-B137)</f>
        <v/>
      </c>
    </row>
    <row r="138" customFormat="false" ht="15" hidden="false" customHeight="false" outlineLevel="0" collapsed="false">
      <c r="A138" s="51"/>
      <c r="B138" s="65"/>
      <c r="C138" s="51"/>
      <c r="D138" s="51"/>
      <c r="E138" s="76"/>
      <c r="F138" s="66" t="str">
        <f aca="false">IF(C138="","",IFERROR(1/(1/INDEX(Clients!$H$6:$H$25,MATCH(C138,Clients!$B$6:$B$25,0))),Settings!$C$10))</f>
        <v/>
      </c>
      <c r="G138" s="77" t="str">
        <f aca="false">IF(OR(B138="",F138=""),"",B138+F138)</f>
        <v/>
      </c>
      <c r="H138" s="65"/>
      <c r="I138" s="76"/>
      <c r="J138" s="51"/>
      <c r="K138" s="73" t="str">
        <f aca="false">IF(E138="","",E138-N(I138))</f>
        <v/>
      </c>
      <c r="L138" s="78" t="str">
        <f aca="true">IF(E138="","",IF(K138&lt;=0,"Paid",IF(AND(G138&lt;&gt;"",TODAY()&gt;G138),"Overdue",IF(N(I138)&gt;0,"Partial","Open"))))</f>
        <v/>
      </c>
      <c r="M138" s="66" t="str">
        <f aca="true">IF(OR(E138="",G138=""),"",IF(K138&lt;=0,IF(H138="","",MAX(0,H138-G138)),MAX(0,TODAY()-G138)))</f>
        <v/>
      </c>
      <c r="N138" s="78" t="str">
        <f aca="true">IF(OR(E138="",G138=""),"",IF(K138&lt;=0,"",IF(TODAY()&lt;=G138,"Not due yet",IF(TODAY()-G138&lt;=30,"1-30 days late",IF(TODAY()-G138&lt;=60,"31-60 days late",IF(TODAY()-G138&lt;=90,"61-90 days late","90+ days late"))))))</f>
        <v/>
      </c>
      <c r="O138" s="66" t="str">
        <f aca="false">IF(OR(H138="",B138="",K138&gt;0),"",H138-B138)</f>
        <v/>
      </c>
    </row>
    <row r="139" customFormat="false" ht="15" hidden="false" customHeight="false" outlineLevel="0" collapsed="false">
      <c r="A139" s="51"/>
      <c r="B139" s="65"/>
      <c r="C139" s="51"/>
      <c r="D139" s="51"/>
      <c r="E139" s="76"/>
      <c r="F139" s="66" t="str">
        <f aca="false">IF(C139="","",IFERROR(1/(1/INDEX(Clients!$H$6:$H$25,MATCH(C139,Clients!$B$6:$B$25,0))),Settings!$C$10))</f>
        <v/>
      </c>
      <c r="G139" s="77" t="str">
        <f aca="false">IF(OR(B139="",F139=""),"",B139+F139)</f>
        <v/>
      </c>
      <c r="H139" s="65"/>
      <c r="I139" s="76"/>
      <c r="J139" s="51"/>
      <c r="K139" s="73" t="str">
        <f aca="false">IF(E139="","",E139-N(I139))</f>
        <v/>
      </c>
      <c r="L139" s="78" t="str">
        <f aca="true">IF(E139="","",IF(K139&lt;=0,"Paid",IF(AND(G139&lt;&gt;"",TODAY()&gt;G139),"Overdue",IF(N(I139)&gt;0,"Partial","Open"))))</f>
        <v/>
      </c>
      <c r="M139" s="66" t="str">
        <f aca="true">IF(OR(E139="",G139=""),"",IF(K139&lt;=0,IF(H139="","",MAX(0,H139-G139)),MAX(0,TODAY()-G139)))</f>
        <v/>
      </c>
      <c r="N139" s="78" t="str">
        <f aca="true">IF(OR(E139="",G139=""),"",IF(K139&lt;=0,"",IF(TODAY()&lt;=G139,"Not due yet",IF(TODAY()-G139&lt;=30,"1-30 days late",IF(TODAY()-G139&lt;=60,"31-60 days late",IF(TODAY()-G139&lt;=90,"61-90 days late","90+ days late"))))))</f>
        <v/>
      </c>
      <c r="O139" s="66" t="str">
        <f aca="false">IF(OR(H139="",B139="",K139&gt;0),"",H139-B139)</f>
        <v/>
      </c>
    </row>
    <row r="140" customFormat="false" ht="15" hidden="false" customHeight="false" outlineLevel="0" collapsed="false">
      <c r="A140" s="51"/>
      <c r="B140" s="65"/>
      <c r="C140" s="51"/>
      <c r="D140" s="51"/>
      <c r="E140" s="76"/>
      <c r="F140" s="66" t="str">
        <f aca="false">IF(C140="","",IFERROR(1/(1/INDEX(Clients!$H$6:$H$25,MATCH(C140,Clients!$B$6:$B$25,0))),Settings!$C$10))</f>
        <v/>
      </c>
      <c r="G140" s="77" t="str">
        <f aca="false">IF(OR(B140="",F140=""),"",B140+F140)</f>
        <v/>
      </c>
      <c r="H140" s="65"/>
      <c r="I140" s="76"/>
      <c r="J140" s="51"/>
      <c r="K140" s="73" t="str">
        <f aca="false">IF(E140="","",E140-N(I140))</f>
        <v/>
      </c>
      <c r="L140" s="78" t="str">
        <f aca="true">IF(E140="","",IF(K140&lt;=0,"Paid",IF(AND(G140&lt;&gt;"",TODAY()&gt;G140),"Overdue",IF(N(I140)&gt;0,"Partial","Open"))))</f>
        <v/>
      </c>
      <c r="M140" s="66" t="str">
        <f aca="true">IF(OR(E140="",G140=""),"",IF(K140&lt;=0,IF(H140="","",MAX(0,H140-G140)),MAX(0,TODAY()-G140)))</f>
        <v/>
      </c>
      <c r="N140" s="78" t="str">
        <f aca="true">IF(OR(E140="",G140=""),"",IF(K140&lt;=0,"",IF(TODAY()&lt;=G140,"Not due yet",IF(TODAY()-G140&lt;=30,"1-30 days late",IF(TODAY()-G140&lt;=60,"31-60 days late",IF(TODAY()-G140&lt;=90,"61-90 days late","90+ days late"))))))</f>
        <v/>
      </c>
      <c r="O140" s="66" t="str">
        <f aca="false">IF(OR(H140="",B140="",K140&gt;0),"",H140-B140)</f>
        <v/>
      </c>
    </row>
    <row r="141" customFormat="false" ht="15" hidden="false" customHeight="false" outlineLevel="0" collapsed="false">
      <c r="A141" s="51"/>
      <c r="B141" s="65"/>
      <c r="C141" s="51"/>
      <c r="D141" s="51"/>
      <c r="E141" s="76"/>
      <c r="F141" s="66" t="str">
        <f aca="false">IF(C141="","",IFERROR(1/(1/INDEX(Clients!$H$6:$H$25,MATCH(C141,Clients!$B$6:$B$25,0))),Settings!$C$10))</f>
        <v/>
      </c>
      <c r="G141" s="77" t="str">
        <f aca="false">IF(OR(B141="",F141=""),"",B141+F141)</f>
        <v/>
      </c>
      <c r="H141" s="65"/>
      <c r="I141" s="76"/>
      <c r="J141" s="51"/>
      <c r="K141" s="73" t="str">
        <f aca="false">IF(E141="","",E141-N(I141))</f>
        <v/>
      </c>
      <c r="L141" s="78" t="str">
        <f aca="true">IF(E141="","",IF(K141&lt;=0,"Paid",IF(AND(G141&lt;&gt;"",TODAY()&gt;G141),"Overdue",IF(N(I141)&gt;0,"Partial","Open"))))</f>
        <v/>
      </c>
      <c r="M141" s="66" t="str">
        <f aca="true">IF(OR(E141="",G141=""),"",IF(K141&lt;=0,IF(H141="","",MAX(0,H141-G141)),MAX(0,TODAY()-G141)))</f>
        <v/>
      </c>
      <c r="N141" s="78" t="str">
        <f aca="true">IF(OR(E141="",G141=""),"",IF(K141&lt;=0,"",IF(TODAY()&lt;=G141,"Not due yet",IF(TODAY()-G141&lt;=30,"1-30 days late",IF(TODAY()-G141&lt;=60,"31-60 days late",IF(TODAY()-G141&lt;=90,"61-90 days late","90+ days late"))))))</f>
        <v/>
      </c>
      <c r="O141" s="66" t="str">
        <f aca="false">IF(OR(H141="",B141="",K141&gt;0),"",H141-B141)</f>
        <v/>
      </c>
    </row>
    <row r="142" customFormat="false" ht="15" hidden="false" customHeight="false" outlineLevel="0" collapsed="false">
      <c r="A142" s="51"/>
      <c r="B142" s="65"/>
      <c r="C142" s="51"/>
      <c r="D142" s="51"/>
      <c r="E142" s="76"/>
      <c r="F142" s="66" t="str">
        <f aca="false">IF(C142="","",IFERROR(1/(1/INDEX(Clients!$H$6:$H$25,MATCH(C142,Clients!$B$6:$B$25,0))),Settings!$C$10))</f>
        <v/>
      </c>
      <c r="G142" s="77" t="str">
        <f aca="false">IF(OR(B142="",F142=""),"",B142+F142)</f>
        <v/>
      </c>
      <c r="H142" s="65"/>
      <c r="I142" s="76"/>
      <c r="J142" s="51"/>
      <c r="K142" s="73" t="str">
        <f aca="false">IF(E142="","",E142-N(I142))</f>
        <v/>
      </c>
      <c r="L142" s="78" t="str">
        <f aca="true">IF(E142="","",IF(K142&lt;=0,"Paid",IF(AND(G142&lt;&gt;"",TODAY()&gt;G142),"Overdue",IF(N(I142)&gt;0,"Partial","Open"))))</f>
        <v/>
      </c>
      <c r="M142" s="66" t="str">
        <f aca="true">IF(OR(E142="",G142=""),"",IF(K142&lt;=0,IF(H142="","",MAX(0,H142-G142)),MAX(0,TODAY()-G142)))</f>
        <v/>
      </c>
      <c r="N142" s="78" t="str">
        <f aca="true">IF(OR(E142="",G142=""),"",IF(K142&lt;=0,"",IF(TODAY()&lt;=G142,"Not due yet",IF(TODAY()-G142&lt;=30,"1-30 days late",IF(TODAY()-G142&lt;=60,"31-60 days late",IF(TODAY()-G142&lt;=90,"61-90 days late","90+ days late"))))))</f>
        <v/>
      </c>
      <c r="O142" s="66" t="str">
        <f aca="false">IF(OR(H142="",B142="",K142&gt;0),"",H142-B142)</f>
        <v/>
      </c>
    </row>
    <row r="143" customFormat="false" ht="15" hidden="false" customHeight="false" outlineLevel="0" collapsed="false">
      <c r="A143" s="51"/>
      <c r="B143" s="65"/>
      <c r="C143" s="51"/>
      <c r="D143" s="51"/>
      <c r="E143" s="76"/>
      <c r="F143" s="66" t="str">
        <f aca="false">IF(C143="","",IFERROR(1/(1/INDEX(Clients!$H$6:$H$25,MATCH(C143,Clients!$B$6:$B$25,0))),Settings!$C$10))</f>
        <v/>
      </c>
      <c r="G143" s="77" t="str">
        <f aca="false">IF(OR(B143="",F143=""),"",B143+F143)</f>
        <v/>
      </c>
      <c r="H143" s="65"/>
      <c r="I143" s="76"/>
      <c r="J143" s="51"/>
      <c r="K143" s="73" t="str">
        <f aca="false">IF(E143="","",E143-N(I143))</f>
        <v/>
      </c>
      <c r="L143" s="78" t="str">
        <f aca="true">IF(E143="","",IF(K143&lt;=0,"Paid",IF(AND(G143&lt;&gt;"",TODAY()&gt;G143),"Overdue",IF(N(I143)&gt;0,"Partial","Open"))))</f>
        <v/>
      </c>
      <c r="M143" s="66" t="str">
        <f aca="true">IF(OR(E143="",G143=""),"",IF(K143&lt;=0,IF(H143="","",MAX(0,H143-G143)),MAX(0,TODAY()-G143)))</f>
        <v/>
      </c>
      <c r="N143" s="78" t="str">
        <f aca="true">IF(OR(E143="",G143=""),"",IF(K143&lt;=0,"",IF(TODAY()&lt;=G143,"Not due yet",IF(TODAY()-G143&lt;=30,"1-30 days late",IF(TODAY()-G143&lt;=60,"31-60 days late",IF(TODAY()-G143&lt;=90,"61-90 days late","90+ days late"))))))</f>
        <v/>
      </c>
      <c r="O143" s="66" t="str">
        <f aca="false">IF(OR(H143="",B143="",K143&gt;0),"",H143-B143)</f>
        <v/>
      </c>
    </row>
    <row r="144" customFormat="false" ht="15" hidden="false" customHeight="false" outlineLevel="0" collapsed="false">
      <c r="A144" s="51"/>
      <c r="B144" s="65"/>
      <c r="C144" s="51"/>
      <c r="D144" s="51"/>
      <c r="E144" s="76"/>
      <c r="F144" s="66" t="str">
        <f aca="false">IF(C144="","",IFERROR(1/(1/INDEX(Clients!$H$6:$H$25,MATCH(C144,Clients!$B$6:$B$25,0))),Settings!$C$10))</f>
        <v/>
      </c>
      <c r="G144" s="77" t="str">
        <f aca="false">IF(OR(B144="",F144=""),"",B144+F144)</f>
        <v/>
      </c>
      <c r="H144" s="65"/>
      <c r="I144" s="76"/>
      <c r="J144" s="51"/>
      <c r="K144" s="73" t="str">
        <f aca="false">IF(E144="","",E144-N(I144))</f>
        <v/>
      </c>
      <c r="L144" s="78" t="str">
        <f aca="true">IF(E144="","",IF(K144&lt;=0,"Paid",IF(AND(G144&lt;&gt;"",TODAY()&gt;G144),"Overdue",IF(N(I144)&gt;0,"Partial","Open"))))</f>
        <v/>
      </c>
      <c r="M144" s="66" t="str">
        <f aca="true">IF(OR(E144="",G144=""),"",IF(K144&lt;=0,IF(H144="","",MAX(0,H144-G144)),MAX(0,TODAY()-G144)))</f>
        <v/>
      </c>
      <c r="N144" s="78" t="str">
        <f aca="true">IF(OR(E144="",G144=""),"",IF(K144&lt;=0,"",IF(TODAY()&lt;=G144,"Not due yet",IF(TODAY()-G144&lt;=30,"1-30 days late",IF(TODAY()-G144&lt;=60,"31-60 days late",IF(TODAY()-G144&lt;=90,"61-90 days late","90+ days late"))))))</f>
        <v/>
      </c>
      <c r="O144" s="66" t="str">
        <f aca="false">IF(OR(H144="",B144="",K144&gt;0),"",H144-B144)</f>
        <v/>
      </c>
    </row>
    <row r="145" customFormat="false" ht="15" hidden="false" customHeight="false" outlineLevel="0" collapsed="false">
      <c r="A145" s="51"/>
      <c r="B145" s="65"/>
      <c r="C145" s="51"/>
      <c r="D145" s="51"/>
      <c r="E145" s="76"/>
      <c r="F145" s="66" t="str">
        <f aca="false">IF(C145="","",IFERROR(1/(1/INDEX(Clients!$H$6:$H$25,MATCH(C145,Clients!$B$6:$B$25,0))),Settings!$C$10))</f>
        <v/>
      </c>
      <c r="G145" s="77" t="str">
        <f aca="false">IF(OR(B145="",F145=""),"",B145+F145)</f>
        <v/>
      </c>
      <c r="H145" s="65"/>
      <c r="I145" s="76"/>
      <c r="J145" s="51"/>
      <c r="K145" s="73" t="str">
        <f aca="false">IF(E145="","",E145-N(I145))</f>
        <v/>
      </c>
      <c r="L145" s="78" t="str">
        <f aca="true">IF(E145="","",IF(K145&lt;=0,"Paid",IF(AND(G145&lt;&gt;"",TODAY()&gt;G145),"Overdue",IF(N(I145)&gt;0,"Partial","Open"))))</f>
        <v/>
      </c>
      <c r="M145" s="66" t="str">
        <f aca="true">IF(OR(E145="",G145=""),"",IF(K145&lt;=0,IF(H145="","",MAX(0,H145-G145)),MAX(0,TODAY()-G145)))</f>
        <v/>
      </c>
      <c r="N145" s="78" t="str">
        <f aca="true">IF(OR(E145="",G145=""),"",IF(K145&lt;=0,"",IF(TODAY()&lt;=G145,"Not due yet",IF(TODAY()-G145&lt;=30,"1-30 days late",IF(TODAY()-G145&lt;=60,"31-60 days late",IF(TODAY()-G145&lt;=90,"61-90 days late","90+ days late"))))))</f>
        <v/>
      </c>
      <c r="O145" s="66" t="str">
        <f aca="false">IF(OR(H145="",B145="",K145&gt;0),"",H145-B145)</f>
        <v/>
      </c>
    </row>
    <row r="146" customFormat="false" ht="15" hidden="false" customHeight="false" outlineLevel="0" collapsed="false">
      <c r="A146" s="51"/>
      <c r="B146" s="65"/>
      <c r="C146" s="51"/>
      <c r="D146" s="51"/>
      <c r="E146" s="76"/>
      <c r="F146" s="66" t="str">
        <f aca="false">IF(C146="","",IFERROR(1/(1/INDEX(Clients!$H$6:$H$25,MATCH(C146,Clients!$B$6:$B$25,0))),Settings!$C$10))</f>
        <v/>
      </c>
      <c r="G146" s="77" t="str">
        <f aca="false">IF(OR(B146="",F146=""),"",B146+F146)</f>
        <v/>
      </c>
      <c r="H146" s="65"/>
      <c r="I146" s="76"/>
      <c r="J146" s="51"/>
      <c r="K146" s="73" t="str">
        <f aca="false">IF(E146="","",E146-N(I146))</f>
        <v/>
      </c>
      <c r="L146" s="78" t="str">
        <f aca="true">IF(E146="","",IF(K146&lt;=0,"Paid",IF(AND(G146&lt;&gt;"",TODAY()&gt;G146),"Overdue",IF(N(I146)&gt;0,"Partial","Open"))))</f>
        <v/>
      </c>
      <c r="M146" s="66" t="str">
        <f aca="true">IF(OR(E146="",G146=""),"",IF(K146&lt;=0,IF(H146="","",MAX(0,H146-G146)),MAX(0,TODAY()-G146)))</f>
        <v/>
      </c>
      <c r="N146" s="78" t="str">
        <f aca="true">IF(OR(E146="",G146=""),"",IF(K146&lt;=0,"",IF(TODAY()&lt;=G146,"Not due yet",IF(TODAY()-G146&lt;=30,"1-30 days late",IF(TODAY()-G146&lt;=60,"31-60 days late",IF(TODAY()-G146&lt;=90,"61-90 days late","90+ days late"))))))</f>
        <v/>
      </c>
      <c r="O146" s="66" t="str">
        <f aca="false">IF(OR(H146="",B146="",K146&gt;0),"",H146-B146)</f>
        <v/>
      </c>
    </row>
    <row r="147" customFormat="false" ht="15" hidden="false" customHeight="false" outlineLevel="0" collapsed="false">
      <c r="A147" s="51"/>
      <c r="B147" s="65"/>
      <c r="C147" s="51"/>
      <c r="D147" s="51"/>
      <c r="E147" s="76"/>
      <c r="F147" s="66" t="str">
        <f aca="false">IF(C147="","",IFERROR(1/(1/INDEX(Clients!$H$6:$H$25,MATCH(C147,Clients!$B$6:$B$25,0))),Settings!$C$10))</f>
        <v/>
      </c>
      <c r="G147" s="77" t="str">
        <f aca="false">IF(OR(B147="",F147=""),"",B147+F147)</f>
        <v/>
      </c>
      <c r="H147" s="65"/>
      <c r="I147" s="76"/>
      <c r="J147" s="51"/>
      <c r="K147" s="73" t="str">
        <f aca="false">IF(E147="","",E147-N(I147))</f>
        <v/>
      </c>
      <c r="L147" s="78" t="str">
        <f aca="true">IF(E147="","",IF(K147&lt;=0,"Paid",IF(AND(G147&lt;&gt;"",TODAY()&gt;G147),"Overdue",IF(N(I147)&gt;0,"Partial","Open"))))</f>
        <v/>
      </c>
      <c r="M147" s="66" t="str">
        <f aca="true">IF(OR(E147="",G147=""),"",IF(K147&lt;=0,IF(H147="","",MAX(0,H147-G147)),MAX(0,TODAY()-G147)))</f>
        <v/>
      </c>
      <c r="N147" s="78" t="str">
        <f aca="true">IF(OR(E147="",G147=""),"",IF(K147&lt;=0,"",IF(TODAY()&lt;=G147,"Not due yet",IF(TODAY()-G147&lt;=30,"1-30 days late",IF(TODAY()-G147&lt;=60,"31-60 days late",IF(TODAY()-G147&lt;=90,"61-90 days late","90+ days late"))))))</f>
        <v/>
      </c>
      <c r="O147" s="66" t="str">
        <f aca="false">IF(OR(H147="",B147="",K147&gt;0),"",H147-B147)</f>
        <v/>
      </c>
    </row>
    <row r="148" customFormat="false" ht="15" hidden="false" customHeight="false" outlineLevel="0" collapsed="false">
      <c r="A148" s="51"/>
      <c r="B148" s="65"/>
      <c r="C148" s="51"/>
      <c r="D148" s="51"/>
      <c r="E148" s="76"/>
      <c r="F148" s="66" t="str">
        <f aca="false">IF(C148="","",IFERROR(1/(1/INDEX(Clients!$H$6:$H$25,MATCH(C148,Clients!$B$6:$B$25,0))),Settings!$C$10))</f>
        <v/>
      </c>
      <c r="G148" s="77" t="str">
        <f aca="false">IF(OR(B148="",F148=""),"",B148+F148)</f>
        <v/>
      </c>
      <c r="H148" s="65"/>
      <c r="I148" s="76"/>
      <c r="J148" s="51"/>
      <c r="K148" s="73" t="str">
        <f aca="false">IF(E148="","",E148-N(I148))</f>
        <v/>
      </c>
      <c r="L148" s="78" t="str">
        <f aca="true">IF(E148="","",IF(K148&lt;=0,"Paid",IF(AND(G148&lt;&gt;"",TODAY()&gt;G148),"Overdue",IF(N(I148)&gt;0,"Partial","Open"))))</f>
        <v/>
      </c>
      <c r="M148" s="66" t="str">
        <f aca="true">IF(OR(E148="",G148=""),"",IF(K148&lt;=0,IF(H148="","",MAX(0,H148-G148)),MAX(0,TODAY()-G148)))</f>
        <v/>
      </c>
      <c r="N148" s="78" t="str">
        <f aca="true">IF(OR(E148="",G148=""),"",IF(K148&lt;=0,"",IF(TODAY()&lt;=G148,"Not due yet",IF(TODAY()-G148&lt;=30,"1-30 days late",IF(TODAY()-G148&lt;=60,"31-60 days late",IF(TODAY()-G148&lt;=90,"61-90 days late","90+ days late"))))))</f>
        <v/>
      </c>
      <c r="O148" s="66" t="str">
        <f aca="false">IF(OR(H148="",B148="",K148&gt;0),"",H148-B148)</f>
        <v/>
      </c>
    </row>
    <row r="149" customFormat="false" ht="15" hidden="false" customHeight="false" outlineLevel="0" collapsed="false">
      <c r="A149" s="51"/>
      <c r="B149" s="65"/>
      <c r="C149" s="51"/>
      <c r="D149" s="51"/>
      <c r="E149" s="76"/>
      <c r="F149" s="66" t="str">
        <f aca="false">IF(C149="","",IFERROR(1/(1/INDEX(Clients!$H$6:$H$25,MATCH(C149,Clients!$B$6:$B$25,0))),Settings!$C$10))</f>
        <v/>
      </c>
      <c r="G149" s="77" t="str">
        <f aca="false">IF(OR(B149="",F149=""),"",B149+F149)</f>
        <v/>
      </c>
      <c r="H149" s="65"/>
      <c r="I149" s="76"/>
      <c r="J149" s="51"/>
      <c r="K149" s="73" t="str">
        <f aca="false">IF(E149="","",E149-N(I149))</f>
        <v/>
      </c>
      <c r="L149" s="78" t="str">
        <f aca="true">IF(E149="","",IF(K149&lt;=0,"Paid",IF(AND(G149&lt;&gt;"",TODAY()&gt;G149),"Overdue",IF(N(I149)&gt;0,"Partial","Open"))))</f>
        <v/>
      </c>
      <c r="M149" s="66" t="str">
        <f aca="true">IF(OR(E149="",G149=""),"",IF(K149&lt;=0,IF(H149="","",MAX(0,H149-G149)),MAX(0,TODAY()-G149)))</f>
        <v/>
      </c>
      <c r="N149" s="78" t="str">
        <f aca="true">IF(OR(E149="",G149=""),"",IF(K149&lt;=0,"",IF(TODAY()&lt;=G149,"Not due yet",IF(TODAY()-G149&lt;=30,"1-30 days late",IF(TODAY()-G149&lt;=60,"31-60 days late",IF(TODAY()-G149&lt;=90,"61-90 days late","90+ days late"))))))</f>
        <v/>
      </c>
      <c r="O149" s="66" t="str">
        <f aca="false">IF(OR(H149="",B149="",K149&gt;0),"",H149-B149)</f>
        <v/>
      </c>
    </row>
    <row r="150" customFormat="false" ht="15" hidden="false" customHeight="false" outlineLevel="0" collapsed="false">
      <c r="A150" s="51"/>
      <c r="B150" s="65"/>
      <c r="C150" s="51"/>
      <c r="D150" s="51"/>
      <c r="E150" s="76"/>
      <c r="F150" s="66" t="str">
        <f aca="false">IF(C150="","",IFERROR(1/(1/INDEX(Clients!$H$6:$H$25,MATCH(C150,Clients!$B$6:$B$25,0))),Settings!$C$10))</f>
        <v/>
      </c>
      <c r="G150" s="77" t="str">
        <f aca="false">IF(OR(B150="",F150=""),"",B150+F150)</f>
        <v/>
      </c>
      <c r="H150" s="65"/>
      <c r="I150" s="76"/>
      <c r="J150" s="51"/>
      <c r="K150" s="73" t="str">
        <f aca="false">IF(E150="","",E150-N(I150))</f>
        <v/>
      </c>
      <c r="L150" s="78" t="str">
        <f aca="true">IF(E150="","",IF(K150&lt;=0,"Paid",IF(AND(G150&lt;&gt;"",TODAY()&gt;G150),"Overdue",IF(N(I150)&gt;0,"Partial","Open"))))</f>
        <v/>
      </c>
      <c r="M150" s="66" t="str">
        <f aca="true">IF(OR(E150="",G150=""),"",IF(K150&lt;=0,IF(H150="","",MAX(0,H150-G150)),MAX(0,TODAY()-G150)))</f>
        <v/>
      </c>
      <c r="N150" s="78" t="str">
        <f aca="true">IF(OR(E150="",G150=""),"",IF(K150&lt;=0,"",IF(TODAY()&lt;=G150,"Not due yet",IF(TODAY()-G150&lt;=30,"1-30 days late",IF(TODAY()-G150&lt;=60,"31-60 days late",IF(TODAY()-G150&lt;=90,"61-90 days late","90+ days late"))))))</f>
        <v/>
      </c>
      <c r="O150" s="66" t="str">
        <f aca="false">IF(OR(H150="",B150="",K150&gt;0),"",H150-B150)</f>
        <v/>
      </c>
    </row>
    <row r="151" customFormat="false" ht="15" hidden="false" customHeight="false" outlineLevel="0" collapsed="false">
      <c r="A151" s="51"/>
      <c r="B151" s="65"/>
      <c r="C151" s="51"/>
      <c r="D151" s="51"/>
      <c r="E151" s="76"/>
      <c r="F151" s="66" t="str">
        <f aca="false">IF(C151="","",IFERROR(1/(1/INDEX(Clients!$H$6:$H$25,MATCH(C151,Clients!$B$6:$B$25,0))),Settings!$C$10))</f>
        <v/>
      </c>
      <c r="G151" s="77" t="str">
        <f aca="false">IF(OR(B151="",F151=""),"",B151+F151)</f>
        <v/>
      </c>
      <c r="H151" s="65"/>
      <c r="I151" s="76"/>
      <c r="J151" s="51"/>
      <c r="K151" s="73" t="str">
        <f aca="false">IF(E151="","",E151-N(I151))</f>
        <v/>
      </c>
      <c r="L151" s="78" t="str">
        <f aca="true">IF(E151="","",IF(K151&lt;=0,"Paid",IF(AND(G151&lt;&gt;"",TODAY()&gt;G151),"Overdue",IF(N(I151)&gt;0,"Partial","Open"))))</f>
        <v/>
      </c>
      <c r="M151" s="66" t="str">
        <f aca="true">IF(OR(E151="",G151=""),"",IF(K151&lt;=0,IF(H151="","",MAX(0,H151-G151)),MAX(0,TODAY()-G151)))</f>
        <v/>
      </c>
      <c r="N151" s="78" t="str">
        <f aca="true">IF(OR(E151="",G151=""),"",IF(K151&lt;=0,"",IF(TODAY()&lt;=G151,"Not due yet",IF(TODAY()-G151&lt;=30,"1-30 days late",IF(TODAY()-G151&lt;=60,"31-60 days late",IF(TODAY()-G151&lt;=90,"61-90 days late","90+ days late"))))))</f>
        <v/>
      </c>
      <c r="O151" s="66" t="str">
        <f aca="false">IF(OR(H151="",B151="",K151&gt;0),"",H151-B151)</f>
        <v/>
      </c>
    </row>
    <row r="152" customFormat="false" ht="15" hidden="false" customHeight="false" outlineLevel="0" collapsed="false">
      <c r="A152" s="51"/>
      <c r="B152" s="65"/>
      <c r="C152" s="51"/>
      <c r="D152" s="51"/>
      <c r="E152" s="76"/>
      <c r="F152" s="66" t="str">
        <f aca="false">IF(C152="","",IFERROR(1/(1/INDEX(Clients!$H$6:$H$25,MATCH(C152,Clients!$B$6:$B$25,0))),Settings!$C$10))</f>
        <v/>
      </c>
      <c r="G152" s="77" t="str">
        <f aca="false">IF(OR(B152="",F152=""),"",B152+F152)</f>
        <v/>
      </c>
      <c r="H152" s="65"/>
      <c r="I152" s="76"/>
      <c r="J152" s="51"/>
      <c r="K152" s="73" t="str">
        <f aca="false">IF(E152="","",E152-N(I152))</f>
        <v/>
      </c>
      <c r="L152" s="78" t="str">
        <f aca="true">IF(E152="","",IF(K152&lt;=0,"Paid",IF(AND(G152&lt;&gt;"",TODAY()&gt;G152),"Overdue",IF(N(I152)&gt;0,"Partial","Open"))))</f>
        <v/>
      </c>
      <c r="M152" s="66" t="str">
        <f aca="true">IF(OR(E152="",G152=""),"",IF(K152&lt;=0,IF(H152="","",MAX(0,H152-G152)),MAX(0,TODAY()-G152)))</f>
        <v/>
      </c>
      <c r="N152" s="78" t="str">
        <f aca="true">IF(OR(E152="",G152=""),"",IF(K152&lt;=0,"",IF(TODAY()&lt;=G152,"Not due yet",IF(TODAY()-G152&lt;=30,"1-30 days late",IF(TODAY()-G152&lt;=60,"31-60 days late",IF(TODAY()-G152&lt;=90,"61-90 days late","90+ days late"))))))</f>
        <v/>
      </c>
      <c r="O152" s="66" t="str">
        <f aca="false">IF(OR(H152="",B152="",K152&gt;0),"",H152-B152)</f>
        <v/>
      </c>
    </row>
    <row r="153" customFormat="false" ht="15" hidden="false" customHeight="false" outlineLevel="0" collapsed="false">
      <c r="A153" s="51"/>
      <c r="B153" s="65"/>
      <c r="C153" s="51"/>
      <c r="D153" s="51"/>
      <c r="E153" s="76"/>
      <c r="F153" s="66" t="str">
        <f aca="false">IF(C153="","",IFERROR(1/(1/INDEX(Clients!$H$6:$H$25,MATCH(C153,Clients!$B$6:$B$25,0))),Settings!$C$10))</f>
        <v/>
      </c>
      <c r="G153" s="77" t="str">
        <f aca="false">IF(OR(B153="",F153=""),"",B153+F153)</f>
        <v/>
      </c>
      <c r="H153" s="65"/>
      <c r="I153" s="76"/>
      <c r="J153" s="51"/>
      <c r="K153" s="73" t="str">
        <f aca="false">IF(E153="","",E153-N(I153))</f>
        <v/>
      </c>
      <c r="L153" s="78" t="str">
        <f aca="true">IF(E153="","",IF(K153&lt;=0,"Paid",IF(AND(G153&lt;&gt;"",TODAY()&gt;G153),"Overdue",IF(N(I153)&gt;0,"Partial","Open"))))</f>
        <v/>
      </c>
      <c r="M153" s="66" t="str">
        <f aca="true">IF(OR(E153="",G153=""),"",IF(K153&lt;=0,IF(H153="","",MAX(0,H153-G153)),MAX(0,TODAY()-G153)))</f>
        <v/>
      </c>
      <c r="N153" s="78" t="str">
        <f aca="true">IF(OR(E153="",G153=""),"",IF(K153&lt;=0,"",IF(TODAY()&lt;=G153,"Not due yet",IF(TODAY()-G153&lt;=30,"1-30 days late",IF(TODAY()-G153&lt;=60,"31-60 days late",IF(TODAY()-G153&lt;=90,"61-90 days late","90+ days late"))))))</f>
        <v/>
      </c>
      <c r="O153" s="66" t="str">
        <f aca="false">IF(OR(H153="",B153="",K153&gt;0),"",H153-B153)</f>
        <v/>
      </c>
    </row>
    <row r="154" customFormat="false" ht="15" hidden="false" customHeight="false" outlineLevel="0" collapsed="false">
      <c r="A154" s="51"/>
      <c r="B154" s="65"/>
      <c r="C154" s="51"/>
      <c r="D154" s="51"/>
      <c r="E154" s="76"/>
      <c r="F154" s="66" t="str">
        <f aca="false">IF(C154="","",IFERROR(1/(1/INDEX(Clients!$H$6:$H$25,MATCH(C154,Clients!$B$6:$B$25,0))),Settings!$C$10))</f>
        <v/>
      </c>
      <c r="G154" s="77" t="str">
        <f aca="false">IF(OR(B154="",F154=""),"",B154+F154)</f>
        <v/>
      </c>
      <c r="H154" s="65"/>
      <c r="I154" s="76"/>
      <c r="J154" s="51"/>
      <c r="K154" s="73" t="str">
        <f aca="false">IF(E154="","",E154-N(I154))</f>
        <v/>
      </c>
      <c r="L154" s="78" t="str">
        <f aca="true">IF(E154="","",IF(K154&lt;=0,"Paid",IF(AND(G154&lt;&gt;"",TODAY()&gt;G154),"Overdue",IF(N(I154)&gt;0,"Partial","Open"))))</f>
        <v/>
      </c>
      <c r="M154" s="66" t="str">
        <f aca="true">IF(OR(E154="",G154=""),"",IF(K154&lt;=0,IF(H154="","",MAX(0,H154-G154)),MAX(0,TODAY()-G154)))</f>
        <v/>
      </c>
      <c r="N154" s="78" t="str">
        <f aca="true">IF(OR(E154="",G154=""),"",IF(K154&lt;=0,"",IF(TODAY()&lt;=G154,"Not due yet",IF(TODAY()-G154&lt;=30,"1-30 days late",IF(TODAY()-G154&lt;=60,"31-60 days late",IF(TODAY()-G154&lt;=90,"61-90 days late","90+ days late"))))))</f>
        <v/>
      </c>
      <c r="O154" s="66" t="str">
        <f aca="false">IF(OR(H154="",B154="",K154&gt;0),"",H154-B154)</f>
        <v/>
      </c>
    </row>
    <row r="155" customFormat="false" ht="15" hidden="false" customHeight="false" outlineLevel="0" collapsed="false">
      <c r="A155" s="51"/>
      <c r="B155" s="65"/>
      <c r="C155" s="51"/>
      <c r="D155" s="51"/>
      <c r="E155" s="76"/>
      <c r="F155" s="66" t="str">
        <f aca="false">IF(C155="","",IFERROR(1/(1/INDEX(Clients!$H$6:$H$25,MATCH(C155,Clients!$B$6:$B$25,0))),Settings!$C$10))</f>
        <v/>
      </c>
      <c r="G155" s="77" t="str">
        <f aca="false">IF(OR(B155="",F155=""),"",B155+F155)</f>
        <v/>
      </c>
      <c r="H155" s="65"/>
      <c r="I155" s="76"/>
      <c r="J155" s="51"/>
      <c r="K155" s="73" t="str">
        <f aca="false">IF(E155="","",E155-N(I155))</f>
        <v/>
      </c>
      <c r="L155" s="78" t="str">
        <f aca="true">IF(E155="","",IF(K155&lt;=0,"Paid",IF(AND(G155&lt;&gt;"",TODAY()&gt;G155),"Overdue",IF(N(I155)&gt;0,"Partial","Open"))))</f>
        <v/>
      </c>
      <c r="M155" s="66" t="str">
        <f aca="true">IF(OR(E155="",G155=""),"",IF(K155&lt;=0,IF(H155="","",MAX(0,H155-G155)),MAX(0,TODAY()-G155)))</f>
        <v/>
      </c>
      <c r="N155" s="78" t="str">
        <f aca="true">IF(OR(E155="",G155=""),"",IF(K155&lt;=0,"",IF(TODAY()&lt;=G155,"Not due yet",IF(TODAY()-G155&lt;=30,"1-30 days late",IF(TODAY()-G155&lt;=60,"31-60 days late",IF(TODAY()-G155&lt;=90,"61-90 days late","90+ days late"))))))</f>
        <v/>
      </c>
      <c r="O155" s="66" t="str">
        <f aca="false">IF(OR(H155="",B155="",K155&gt;0),"",H155-B155)</f>
        <v/>
      </c>
    </row>
    <row r="156" customFormat="false" ht="15" hidden="false" customHeight="false" outlineLevel="0" collapsed="false">
      <c r="A156" s="51"/>
      <c r="B156" s="65"/>
      <c r="C156" s="51"/>
      <c r="D156" s="51"/>
      <c r="E156" s="76"/>
      <c r="F156" s="66" t="str">
        <f aca="false">IF(C156="","",IFERROR(1/(1/INDEX(Clients!$H$6:$H$25,MATCH(C156,Clients!$B$6:$B$25,0))),Settings!$C$10))</f>
        <v/>
      </c>
      <c r="G156" s="77" t="str">
        <f aca="false">IF(OR(B156="",F156=""),"",B156+F156)</f>
        <v/>
      </c>
      <c r="H156" s="65"/>
      <c r="I156" s="76"/>
      <c r="J156" s="51"/>
      <c r="K156" s="73" t="str">
        <f aca="false">IF(E156="","",E156-N(I156))</f>
        <v/>
      </c>
      <c r="L156" s="78" t="str">
        <f aca="true">IF(E156="","",IF(K156&lt;=0,"Paid",IF(AND(G156&lt;&gt;"",TODAY()&gt;G156),"Overdue",IF(N(I156)&gt;0,"Partial","Open"))))</f>
        <v/>
      </c>
      <c r="M156" s="66" t="str">
        <f aca="true">IF(OR(E156="",G156=""),"",IF(K156&lt;=0,IF(H156="","",MAX(0,H156-G156)),MAX(0,TODAY()-G156)))</f>
        <v/>
      </c>
      <c r="N156" s="78" t="str">
        <f aca="true">IF(OR(E156="",G156=""),"",IF(K156&lt;=0,"",IF(TODAY()&lt;=G156,"Not due yet",IF(TODAY()-G156&lt;=30,"1-30 days late",IF(TODAY()-G156&lt;=60,"31-60 days late",IF(TODAY()-G156&lt;=90,"61-90 days late","90+ days late"))))))</f>
        <v/>
      </c>
      <c r="O156" s="66" t="str">
        <f aca="false">IF(OR(H156="",B156="",K156&gt;0),"",H156-B156)</f>
        <v/>
      </c>
    </row>
    <row r="157" customFormat="false" ht="15" hidden="false" customHeight="false" outlineLevel="0" collapsed="false">
      <c r="A157" s="51"/>
      <c r="B157" s="65"/>
      <c r="C157" s="51"/>
      <c r="D157" s="51"/>
      <c r="E157" s="76"/>
      <c r="F157" s="66" t="str">
        <f aca="false">IF(C157="","",IFERROR(1/(1/INDEX(Clients!$H$6:$H$25,MATCH(C157,Clients!$B$6:$B$25,0))),Settings!$C$10))</f>
        <v/>
      </c>
      <c r="G157" s="77" t="str">
        <f aca="false">IF(OR(B157="",F157=""),"",B157+F157)</f>
        <v/>
      </c>
      <c r="H157" s="65"/>
      <c r="I157" s="76"/>
      <c r="J157" s="51"/>
      <c r="K157" s="73" t="str">
        <f aca="false">IF(E157="","",E157-N(I157))</f>
        <v/>
      </c>
      <c r="L157" s="78" t="str">
        <f aca="true">IF(E157="","",IF(K157&lt;=0,"Paid",IF(AND(G157&lt;&gt;"",TODAY()&gt;G157),"Overdue",IF(N(I157)&gt;0,"Partial","Open"))))</f>
        <v/>
      </c>
      <c r="M157" s="66" t="str">
        <f aca="true">IF(OR(E157="",G157=""),"",IF(K157&lt;=0,IF(H157="","",MAX(0,H157-G157)),MAX(0,TODAY()-G157)))</f>
        <v/>
      </c>
      <c r="N157" s="78" t="str">
        <f aca="true">IF(OR(E157="",G157=""),"",IF(K157&lt;=0,"",IF(TODAY()&lt;=G157,"Not due yet",IF(TODAY()-G157&lt;=30,"1-30 days late",IF(TODAY()-G157&lt;=60,"31-60 days late",IF(TODAY()-G157&lt;=90,"61-90 days late","90+ days late"))))))</f>
        <v/>
      </c>
      <c r="O157" s="66" t="str">
        <f aca="false">IF(OR(H157="",B157="",K157&gt;0),"",H157-B157)</f>
        <v/>
      </c>
    </row>
    <row r="158" customFormat="false" ht="15" hidden="false" customHeight="false" outlineLevel="0" collapsed="false">
      <c r="A158" s="51"/>
      <c r="B158" s="65"/>
      <c r="C158" s="51"/>
      <c r="D158" s="51"/>
      <c r="E158" s="76"/>
      <c r="F158" s="66" t="str">
        <f aca="false">IF(C158="","",IFERROR(1/(1/INDEX(Clients!$H$6:$H$25,MATCH(C158,Clients!$B$6:$B$25,0))),Settings!$C$10))</f>
        <v/>
      </c>
      <c r="G158" s="77" t="str">
        <f aca="false">IF(OR(B158="",F158=""),"",B158+F158)</f>
        <v/>
      </c>
      <c r="H158" s="65"/>
      <c r="I158" s="76"/>
      <c r="J158" s="51"/>
      <c r="K158" s="73" t="str">
        <f aca="false">IF(E158="","",E158-N(I158))</f>
        <v/>
      </c>
      <c r="L158" s="78" t="str">
        <f aca="true">IF(E158="","",IF(K158&lt;=0,"Paid",IF(AND(G158&lt;&gt;"",TODAY()&gt;G158),"Overdue",IF(N(I158)&gt;0,"Partial","Open"))))</f>
        <v/>
      </c>
      <c r="M158" s="66" t="str">
        <f aca="true">IF(OR(E158="",G158=""),"",IF(K158&lt;=0,IF(H158="","",MAX(0,H158-G158)),MAX(0,TODAY()-G158)))</f>
        <v/>
      </c>
      <c r="N158" s="78" t="str">
        <f aca="true">IF(OR(E158="",G158=""),"",IF(K158&lt;=0,"",IF(TODAY()&lt;=G158,"Not due yet",IF(TODAY()-G158&lt;=30,"1-30 days late",IF(TODAY()-G158&lt;=60,"31-60 days late",IF(TODAY()-G158&lt;=90,"61-90 days late","90+ days late"))))))</f>
        <v/>
      </c>
      <c r="O158" s="66" t="str">
        <f aca="false">IF(OR(H158="",B158="",K158&gt;0),"",H158-B158)</f>
        <v/>
      </c>
    </row>
    <row r="159" customFormat="false" ht="15" hidden="false" customHeight="false" outlineLevel="0" collapsed="false">
      <c r="A159" s="51"/>
      <c r="B159" s="65"/>
      <c r="C159" s="51"/>
      <c r="D159" s="51"/>
      <c r="E159" s="76"/>
      <c r="F159" s="66" t="str">
        <f aca="false">IF(C159="","",IFERROR(1/(1/INDEX(Clients!$H$6:$H$25,MATCH(C159,Clients!$B$6:$B$25,0))),Settings!$C$10))</f>
        <v/>
      </c>
      <c r="G159" s="77" t="str">
        <f aca="false">IF(OR(B159="",F159=""),"",B159+F159)</f>
        <v/>
      </c>
      <c r="H159" s="65"/>
      <c r="I159" s="76"/>
      <c r="J159" s="51"/>
      <c r="K159" s="73" t="str">
        <f aca="false">IF(E159="","",E159-N(I159))</f>
        <v/>
      </c>
      <c r="L159" s="78" t="str">
        <f aca="true">IF(E159="","",IF(K159&lt;=0,"Paid",IF(AND(G159&lt;&gt;"",TODAY()&gt;G159),"Overdue",IF(N(I159)&gt;0,"Partial","Open"))))</f>
        <v/>
      </c>
      <c r="M159" s="66" t="str">
        <f aca="true">IF(OR(E159="",G159=""),"",IF(K159&lt;=0,IF(H159="","",MAX(0,H159-G159)),MAX(0,TODAY()-G159)))</f>
        <v/>
      </c>
      <c r="N159" s="78" t="str">
        <f aca="true">IF(OR(E159="",G159=""),"",IF(K159&lt;=0,"",IF(TODAY()&lt;=G159,"Not due yet",IF(TODAY()-G159&lt;=30,"1-30 days late",IF(TODAY()-G159&lt;=60,"31-60 days late",IF(TODAY()-G159&lt;=90,"61-90 days late","90+ days late"))))))</f>
        <v/>
      </c>
      <c r="O159" s="66" t="str">
        <f aca="false">IF(OR(H159="",B159="",K159&gt;0),"",H159-B159)</f>
        <v/>
      </c>
    </row>
    <row r="160" customFormat="false" ht="15" hidden="false" customHeight="false" outlineLevel="0" collapsed="false">
      <c r="A160" s="51"/>
      <c r="B160" s="65"/>
      <c r="C160" s="51"/>
      <c r="D160" s="51"/>
      <c r="E160" s="76"/>
      <c r="F160" s="66" t="str">
        <f aca="false">IF(C160="","",IFERROR(1/(1/INDEX(Clients!$H$6:$H$25,MATCH(C160,Clients!$B$6:$B$25,0))),Settings!$C$10))</f>
        <v/>
      </c>
      <c r="G160" s="77" t="str">
        <f aca="false">IF(OR(B160="",F160=""),"",B160+F160)</f>
        <v/>
      </c>
      <c r="H160" s="65"/>
      <c r="I160" s="76"/>
      <c r="J160" s="51"/>
      <c r="K160" s="73" t="str">
        <f aca="false">IF(E160="","",E160-N(I160))</f>
        <v/>
      </c>
      <c r="L160" s="78" t="str">
        <f aca="true">IF(E160="","",IF(K160&lt;=0,"Paid",IF(AND(G160&lt;&gt;"",TODAY()&gt;G160),"Overdue",IF(N(I160)&gt;0,"Partial","Open"))))</f>
        <v/>
      </c>
      <c r="M160" s="66" t="str">
        <f aca="true">IF(OR(E160="",G160=""),"",IF(K160&lt;=0,IF(H160="","",MAX(0,H160-G160)),MAX(0,TODAY()-G160)))</f>
        <v/>
      </c>
      <c r="N160" s="78" t="str">
        <f aca="true">IF(OR(E160="",G160=""),"",IF(K160&lt;=0,"",IF(TODAY()&lt;=G160,"Not due yet",IF(TODAY()-G160&lt;=30,"1-30 days late",IF(TODAY()-G160&lt;=60,"31-60 days late",IF(TODAY()-G160&lt;=90,"61-90 days late","90+ days late"))))))</f>
        <v/>
      </c>
      <c r="O160" s="66" t="str">
        <f aca="false">IF(OR(H160="",B160="",K160&gt;0),"",H160-B160)</f>
        <v/>
      </c>
    </row>
    <row r="161" customFormat="false" ht="15" hidden="false" customHeight="false" outlineLevel="0" collapsed="false">
      <c r="A161" s="51"/>
      <c r="B161" s="65"/>
      <c r="C161" s="51"/>
      <c r="D161" s="51"/>
      <c r="E161" s="76"/>
      <c r="F161" s="66" t="str">
        <f aca="false">IF(C161="","",IFERROR(1/(1/INDEX(Clients!$H$6:$H$25,MATCH(C161,Clients!$B$6:$B$25,0))),Settings!$C$10))</f>
        <v/>
      </c>
      <c r="G161" s="77" t="str">
        <f aca="false">IF(OR(B161="",F161=""),"",B161+F161)</f>
        <v/>
      </c>
      <c r="H161" s="65"/>
      <c r="I161" s="76"/>
      <c r="J161" s="51"/>
      <c r="K161" s="73" t="str">
        <f aca="false">IF(E161="","",E161-N(I161))</f>
        <v/>
      </c>
      <c r="L161" s="78" t="str">
        <f aca="true">IF(E161="","",IF(K161&lt;=0,"Paid",IF(AND(G161&lt;&gt;"",TODAY()&gt;G161),"Overdue",IF(N(I161)&gt;0,"Partial","Open"))))</f>
        <v/>
      </c>
      <c r="M161" s="66" t="str">
        <f aca="true">IF(OR(E161="",G161=""),"",IF(K161&lt;=0,IF(H161="","",MAX(0,H161-G161)),MAX(0,TODAY()-G161)))</f>
        <v/>
      </c>
      <c r="N161" s="78" t="str">
        <f aca="true">IF(OR(E161="",G161=""),"",IF(K161&lt;=0,"",IF(TODAY()&lt;=G161,"Not due yet",IF(TODAY()-G161&lt;=30,"1-30 days late",IF(TODAY()-G161&lt;=60,"31-60 days late",IF(TODAY()-G161&lt;=90,"61-90 days late","90+ days late"))))))</f>
        <v/>
      </c>
      <c r="O161" s="66" t="str">
        <f aca="false">IF(OR(H161="",B161="",K161&gt;0),"",H161-B161)</f>
        <v/>
      </c>
    </row>
    <row r="162" customFormat="false" ht="15" hidden="false" customHeight="false" outlineLevel="0" collapsed="false">
      <c r="A162" s="51"/>
      <c r="B162" s="65"/>
      <c r="C162" s="51"/>
      <c r="D162" s="51"/>
      <c r="E162" s="76"/>
      <c r="F162" s="66" t="str">
        <f aca="false">IF(C162="","",IFERROR(1/(1/INDEX(Clients!$H$6:$H$25,MATCH(C162,Clients!$B$6:$B$25,0))),Settings!$C$10))</f>
        <v/>
      </c>
      <c r="G162" s="77" t="str">
        <f aca="false">IF(OR(B162="",F162=""),"",B162+F162)</f>
        <v/>
      </c>
      <c r="H162" s="65"/>
      <c r="I162" s="76"/>
      <c r="J162" s="51"/>
      <c r="K162" s="73" t="str">
        <f aca="false">IF(E162="","",E162-N(I162))</f>
        <v/>
      </c>
      <c r="L162" s="78" t="str">
        <f aca="true">IF(E162="","",IF(K162&lt;=0,"Paid",IF(AND(G162&lt;&gt;"",TODAY()&gt;G162),"Overdue",IF(N(I162)&gt;0,"Partial","Open"))))</f>
        <v/>
      </c>
      <c r="M162" s="66" t="str">
        <f aca="true">IF(OR(E162="",G162=""),"",IF(K162&lt;=0,IF(H162="","",MAX(0,H162-G162)),MAX(0,TODAY()-G162)))</f>
        <v/>
      </c>
      <c r="N162" s="78" t="str">
        <f aca="true">IF(OR(E162="",G162=""),"",IF(K162&lt;=0,"",IF(TODAY()&lt;=G162,"Not due yet",IF(TODAY()-G162&lt;=30,"1-30 days late",IF(TODAY()-G162&lt;=60,"31-60 days late",IF(TODAY()-G162&lt;=90,"61-90 days late","90+ days late"))))))</f>
        <v/>
      </c>
      <c r="O162" s="66" t="str">
        <f aca="false">IF(OR(H162="",B162="",K162&gt;0),"",H162-B162)</f>
        <v/>
      </c>
    </row>
    <row r="163" customFormat="false" ht="15" hidden="false" customHeight="false" outlineLevel="0" collapsed="false">
      <c r="A163" s="51"/>
      <c r="B163" s="65"/>
      <c r="C163" s="51"/>
      <c r="D163" s="51"/>
      <c r="E163" s="76"/>
      <c r="F163" s="66" t="str">
        <f aca="false">IF(C163="","",IFERROR(1/(1/INDEX(Clients!$H$6:$H$25,MATCH(C163,Clients!$B$6:$B$25,0))),Settings!$C$10))</f>
        <v/>
      </c>
      <c r="G163" s="77" t="str">
        <f aca="false">IF(OR(B163="",F163=""),"",B163+F163)</f>
        <v/>
      </c>
      <c r="H163" s="65"/>
      <c r="I163" s="76"/>
      <c r="J163" s="51"/>
      <c r="K163" s="73" t="str">
        <f aca="false">IF(E163="","",E163-N(I163))</f>
        <v/>
      </c>
      <c r="L163" s="78" t="str">
        <f aca="true">IF(E163="","",IF(K163&lt;=0,"Paid",IF(AND(G163&lt;&gt;"",TODAY()&gt;G163),"Overdue",IF(N(I163)&gt;0,"Partial","Open"))))</f>
        <v/>
      </c>
      <c r="M163" s="66" t="str">
        <f aca="true">IF(OR(E163="",G163=""),"",IF(K163&lt;=0,IF(H163="","",MAX(0,H163-G163)),MAX(0,TODAY()-G163)))</f>
        <v/>
      </c>
      <c r="N163" s="78" t="str">
        <f aca="true">IF(OR(E163="",G163=""),"",IF(K163&lt;=0,"",IF(TODAY()&lt;=G163,"Not due yet",IF(TODAY()-G163&lt;=30,"1-30 days late",IF(TODAY()-G163&lt;=60,"31-60 days late",IF(TODAY()-G163&lt;=90,"61-90 days late","90+ days late"))))))</f>
        <v/>
      </c>
      <c r="O163" s="66" t="str">
        <f aca="false">IF(OR(H163="",B163="",K163&gt;0),"",H163-B163)</f>
        <v/>
      </c>
    </row>
    <row r="164" customFormat="false" ht="15" hidden="false" customHeight="false" outlineLevel="0" collapsed="false">
      <c r="A164" s="51"/>
      <c r="B164" s="65"/>
      <c r="C164" s="51"/>
      <c r="D164" s="51"/>
      <c r="E164" s="76"/>
      <c r="F164" s="66" t="str">
        <f aca="false">IF(C164="","",IFERROR(1/(1/INDEX(Clients!$H$6:$H$25,MATCH(C164,Clients!$B$6:$B$25,0))),Settings!$C$10))</f>
        <v/>
      </c>
      <c r="G164" s="77" t="str">
        <f aca="false">IF(OR(B164="",F164=""),"",B164+F164)</f>
        <v/>
      </c>
      <c r="H164" s="65"/>
      <c r="I164" s="76"/>
      <c r="J164" s="51"/>
      <c r="K164" s="73" t="str">
        <f aca="false">IF(E164="","",E164-N(I164))</f>
        <v/>
      </c>
      <c r="L164" s="78" t="str">
        <f aca="true">IF(E164="","",IF(K164&lt;=0,"Paid",IF(AND(G164&lt;&gt;"",TODAY()&gt;G164),"Overdue",IF(N(I164)&gt;0,"Partial","Open"))))</f>
        <v/>
      </c>
      <c r="M164" s="66" t="str">
        <f aca="true">IF(OR(E164="",G164=""),"",IF(K164&lt;=0,IF(H164="","",MAX(0,H164-G164)),MAX(0,TODAY()-G164)))</f>
        <v/>
      </c>
      <c r="N164" s="78" t="str">
        <f aca="true">IF(OR(E164="",G164=""),"",IF(K164&lt;=0,"",IF(TODAY()&lt;=G164,"Not due yet",IF(TODAY()-G164&lt;=30,"1-30 days late",IF(TODAY()-G164&lt;=60,"31-60 days late",IF(TODAY()-G164&lt;=90,"61-90 days late","90+ days late"))))))</f>
        <v/>
      </c>
      <c r="O164" s="66" t="str">
        <f aca="false">IF(OR(H164="",B164="",K164&gt;0),"",H164-B164)</f>
        <v/>
      </c>
    </row>
    <row r="165" customFormat="false" ht="15" hidden="false" customHeight="false" outlineLevel="0" collapsed="false">
      <c r="A165" s="51"/>
      <c r="B165" s="65"/>
      <c r="C165" s="51"/>
      <c r="D165" s="51"/>
      <c r="E165" s="76"/>
      <c r="F165" s="66" t="str">
        <f aca="false">IF(C165="","",IFERROR(1/(1/INDEX(Clients!$H$6:$H$25,MATCH(C165,Clients!$B$6:$B$25,0))),Settings!$C$10))</f>
        <v/>
      </c>
      <c r="G165" s="77" t="str">
        <f aca="false">IF(OR(B165="",F165=""),"",B165+F165)</f>
        <v/>
      </c>
      <c r="H165" s="65"/>
      <c r="I165" s="76"/>
      <c r="J165" s="51"/>
      <c r="K165" s="73" t="str">
        <f aca="false">IF(E165="","",E165-N(I165))</f>
        <v/>
      </c>
      <c r="L165" s="78" t="str">
        <f aca="true">IF(E165="","",IF(K165&lt;=0,"Paid",IF(AND(G165&lt;&gt;"",TODAY()&gt;G165),"Overdue",IF(N(I165)&gt;0,"Partial","Open"))))</f>
        <v/>
      </c>
      <c r="M165" s="66" t="str">
        <f aca="true">IF(OR(E165="",G165=""),"",IF(K165&lt;=0,IF(H165="","",MAX(0,H165-G165)),MAX(0,TODAY()-G165)))</f>
        <v/>
      </c>
      <c r="N165" s="78" t="str">
        <f aca="true">IF(OR(E165="",G165=""),"",IF(K165&lt;=0,"",IF(TODAY()&lt;=G165,"Not due yet",IF(TODAY()-G165&lt;=30,"1-30 days late",IF(TODAY()-G165&lt;=60,"31-60 days late",IF(TODAY()-G165&lt;=90,"61-90 days late","90+ days late"))))))</f>
        <v/>
      </c>
      <c r="O165" s="66" t="str">
        <f aca="false">IF(OR(H165="",B165="",K165&gt;0),"",H165-B165)</f>
        <v/>
      </c>
    </row>
    <row r="166" customFormat="false" ht="15" hidden="false" customHeight="false" outlineLevel="0" collapsed="false">
      <c r="A166" s="51"/>
      <c r="B166" s="65"/>
      <c r="C166" s="51"/>
      <c r="D166" s="51"/>
      <c r="E166" s="76"/>
      <c r="F166" s="66" t="str">
        <f aca="false">IF(C166="","",IFERROR(1/(1/INDEX(Clients!$H$6:$H$25,MATCH(C166,Clients!$B$6:$B$25,0))),Settings!$C$10))</f>
        <v/>
      </c>
      <c r="G166" s="77" t="str">
        <f aca="false">IF(OR(B166="",F166=""),"",B166+F166)</f>
        <v/>
      </c>
      <c r="H166" s="65"/>
      <c r="I166" s="76"/>
      <c r="J166" s="51"/>
      <c r="K166" s="73" t="str">
        <f aca="false">IF(E166="","",E166-N(I166))</f>
        <v/>
      </c>
      <c r="L166" s="78" t="str">
        <f aca="true">IF(E166="","",IF(K166&lt;=0,"Paid",IF(AND(G166&lt;&gt;"",TODAY()&gt;G166),"Overdue",IF(N(I166)&gt;0,"Partial","Open"))))</f>
        <v/>
      </c>
      <c r="M166" s="66" t="str">
        <f aca="true">IF(OR(E166="",G166=""),"",IF(K166&lt;=0,IF(H166="","",MAX(0,H166-G166)),MAX(0,TODAY()-G166)))</f>
        <v/>
      </c>
      <c r="N166" s="78" t="str">
        <f aca="true">IF(OR(E166="",G166=""),"",IF(K166&lt;=0,"",IF(TODAY()&lt;=G166,"Not due yet",IF(TODAY()-G166&lt;=30,"1-30 days late",IF(TODAY()-G166&lt;=60,"31-60 days late",IF(TODAY()-G166&lt;=90,"61-90 days late","90+ days late"))))))</f>
        <v/>
      </c>
      <c r="O166" s="66" t="str">
        <f aca="false">IF(OR(H166="",B166="",K166&gt;0),"",H166-B166)</f>
        <v/>
      </c>
    </row>
    <row r="167" customFormat="false" ht="15" hidden="false" customHeight="false" outlineLevel="0" collapsed="false">
      <c r="A167" s="51"/>
      <c r="B167" s="65"/>
      <c r="C167" s="51"/>
      <c r="D167" s="51"/>
      <c r="E167" s="76"/>
      <c r="F167" s="66" t="str">
        <f aca="false">IF(C167="","",IFERROR(1/(1/INDEX(Clients!$H$6:$H$25,MATCH(C167,Clients!$B$6:$B$25,0))),Settings!$C$10))</f>
        <v/>
      </c>
      <c r="G167" s="77" t="str">
        <f aca="false">IF(OR(B167="",F167=""),"",B167+F167)</f>
        <v/>
      </c>
      <c r="H167" s="65"/>
      <c r="I167" s="76"/>
      <c r="J167" s="51"/>
      <c r="K167" s="73" t="str">
        <f aca="false">IF(E167="","",E167-N(I167))</f>
        <v/>
      </c>
      <c r="L167" s="78" t="str">
        <f aca="true">IF(E167="","",IF(K167&lt;=0,"Paid",IF(AND(G167&lt;&gt;"",TODAY()&gt;G167),"Overdue",IF(N(I167)&gt;0,"Partial","Open"))))</f>
        <v/>
      </c>
      <c r="M167" s="66" t="str">
        <f aca="true">IF(OR(E167="",G167=""),"",IF(K167&lt;=0,IF(H167="","",MAX(0,H167-G167)),MAX(0,TODAY()-G167)))</f>
        <v/>
      </c>
      <c r="N167" s="78" t="str">
        <f aca="true">IF(OR(E167="",G167=""),"",IF(K167&lt;=0,"",IF(TODAY()&lt;=G167,"Not due yet",IF(TODAY()-G167&lt;=30,"1-30 days late",IF(TODAY()-G167&lt;=60,"31-60 days late",IF(TODAY()-G167&lt;=90,"61-90 days late","90+ days late"))))))</f>
        <v/>
      </c>
      <c r="O167" s="66" t="str">
        <f aca="false">IF(OR(H167="",B167="",K167&gt;0),"",H167-B167)</f>
        <v/>
      </c>
    </row>
    <row r="168" customFormat="false" ht="15" hidden="false" customHeight="false" outlineLevel="0" collapsed="false">
      <c r="A168" s="51"/>
      <c r="B168" s="65"/>
      <c r="C168" s="51"/>
      <c r="D168" s="51"/>
      <c r="E168" s="76"/>
      <c r="F168" s="66" t="str">
        <f aca="false">IF(C168="","",IFERROR(1/(1/INDEX(Clients!$H$6:$H$25,MATCH(C168,Clients!$B$6:$B$25,0))),Settings!$C$10))</f>
        <v/>
      </c>
      <c r="G168" s="77" t="str">
        <f aca="false">IF(OR(B168="",F168=""),"",B168+F168)</f>
        <v/>
      </c>
      <c r="H168" s="65"/>
      <c r="I168" s="76"/>
      <c r="J168" s="51"/>
      <c r="K168" s="73" t="str">
        <f aca="false">IF(E168="","",E168-N(I168))</f>
        <v/>
      </c>
      <c r="L168" s="78" t="str">
        <f aca="true">IF(E168="","",IF(K168&lt;=0,"Paid",IF(AND(G168&lt;&gt;"",TODAY()&gt;G168),"Overdue",IF(N(I168)&gt;0,"Partial","Open"))))</f>
        <v/>
      </c>
      <c r="M168" s="66" t="str">
        <f aca="true">IF(OR(E168="",G168=""),"",IF(K168&lt;=0,IF(H168="","",MAX(0,H168-G168)),MAX(0,TODAY()-G168)))</f>
        <v/>
      </c>
      <c r="N168" s="78" t="str">
        <f aca="true">IF(OR(E168="",G168=""),"",IF(K168&lt;=0,"",IF(TODAY()&lt;=G168,"Not due yet",IF(TODAY()-G168&lt;=30,"1-30 days late",IF(TODAY()-G168&lt;=60,"31-60 days late",IF(TODAY()-G168&lt;=90,"61-90 days late","90+ days late"))))))</f>
        <v/>
      </c>
      <c r="O168" s="66" t="str">
        <f aca="false">IF(OR(H168="",B168="",K168&gt;0),"",H168-B168)</f>
        <v/>
      </c>
    </row>
    <row r="169" customFormat="false" ht="15" hidden="false" customHeight="false" outlineLevel="0" collapsed="false">
      <c r="A169" s="51"/>
      <c r="B169" s="65"/>
      <c r="C169" s="51"/>
      <c r="D169" s="51"/>
      <c r="E169" s="76"/>
      <c r="F169" s="66" t="str">
        <f aca="false">IF(C169="","",IFERROR(1/(1/INDEX(Clients!$H$6:$H$25,MATCH(C169,Clients!$B$6:$B$25,0))),Settings!$C$10))</f>
        <v/>
      </c>
      <c r="G169" s="77" t="str">
        <f aca="false">IF(OR(B169="",F169=""),"",B169+F169)</f>
        <v/>
      </c>
      <c r="H169" s="65"/>
      <c r="I169" s="76"/>
      <c r="J169" s="51"/>
      <c r="K169" s="73" t="str">
        <f aca="false">IF(E169="","",E169-N(I169))</f>
        <v/>
      </c>
      <c r="L169" s="78" t="str">
        <f aca="true">IF(E169="","",IF(K169&lt;=0,"Paid",IF(AND(G169&lt;&gt;"",TODAY()&gt;G169),"Overdue",IF(N(I169)&gt;0,"Partial","Open"))))</f>
        <v/>
      </c>
      <c r="M169" s="66" t="str">
        <f aca="true">IF(OR(E169="",G169=""),"",IF(K169&lt;=0,IF(H169="","",MAX(0,H169-G169)),MAX(0,TODAY()-G169)))</f>
        <v/>
      </c>
      <c r="N169" s="78" t="str">
        <f aca="true">IF(OR(E169="",G169=""),"",IF(K169&lt;=0,"",IF(TODAY()&lt;=G169,"Not due yet",IF(TODAY()-G169&lt;=30,"1-30 days late",IF(TODAY()-G169&lt;=60,"31-60 days late",IF(TODAY()-G169&lt;=90,"61-90 days late","90+ days late"))))))</f>
        <v/>
      </c>
      <c r="O169" s="66" t="str">
        <f aca="false">IF(OR(H169="",B169="",K169&gt;0),"",H169-B169)</f>
        <v/>
      </c>
    </row>
    <row r="170" customFormat="false" ht="15" hidden="false" customHeight="false" outlineLevel="0" collapsed="false">
      <c r="A170" s="51"/>
      <c r="B170" s="65"/>
      <c r="C170" s="51"/>
      <c r="D170" s="51"/>
      <c r="E170" s="76"/>
      <c r="F170" s="66" t="str">
        <f aca="false">IF(C170="","",IFERROR(1/(1/INDEX(Clients!$H$6:$H$25,MATCH(C170,Clients!$B$6:$B$25,0))),Settings!$C$10))</f>
        <v/>
      </c>
      <c r="G170" s="77" t="str">
        <f aca="false">IF(OR(B170="",F170=""),"",B170+F170)</f>
        <v/>
      </c>
      <c r="H170" s="65"/>
      <c r="I170" s="76"/>
      <c r="J170" s="51"/>
      <c r="K170" s="73" t="str">
        <f aca="false">IF(E170="","",E170-N(I170))</f>
        <v/>
      </c>
      <c r="L170" s="78" t="str">
        <f aca="true">IF(E170="","",IF(K170&lt;=0,"Paid",IF(AND(G170&lt;&gt;"",TODAY()&gt;G170),"Overdue",IF(N(I170)&gt;0,"Partial","Open"))))</f>
        <v/>
      </c>
      <c r="M170" s="66" t="str">
        <f aca="true">IF(OR(E170="",G170=""),"",IF(K170&lt;=0,IF(H170="","",MAX(0,H170-G170)),MAX(0,TODAY()-G170)))</f>
        <v/>
      </c>
      <c r="N170" s="78" t="str">
        <f aca="true">IF(OR(E170="",G170=""),"",IF(K170&lt;=0,"",IF(TODAY()&lt;=G170,"Not due yet",IF(TODAY()-G170&lt;=30,"1-30 days late",IF(TODAY()-G170&lt;=60,"31-60 days late",IF(TODAY()-G170&lt;=90,"61-90 days late","90+ days late"))))))</f>
        <v/>
      </c>
      <c r="O170" s="66" t="str">
        <f aca="false">IF(OR(H170="",B170="",K170&gt;0),"",H170-B170)</f>
        <v/>
      </c>
    </row>
    <row r="171" customFormat="false" ht="15" hidden="false" customHeight="false" outlineLevel="0" collapsed="false">
      <c r="A171" s="51"/>
      <c r="B171" s="65"/>
      <c r="C171" s="51"/>
      <c r="D171" s="51"/>
      <c r="E171" s="76"/>
      <c r="F171" s="66" t="str">
        <f aca="false">IF(C171="","",IFERROR(1/(1/INDEX(Clients!$H$6:$H$25,MATCH(C171,Clients!$B$6:$B$25,0))),Settings!$C$10))</f>
        <v/>
      </c>
      <c r="G171" s="77" t="str">
        <f aca="false">IF(OR(B171="",F171=""),"",B171+F171)</f>
        <v/>
      </c>
      <c r="H171" s="65"/>
      <c r="I171" s="76"/>
      <c r="J171" s="51"/>
      <c r="K171" s="73" t="str">
        <f aca="false">IF(E171="","",E171-N(I171))</f>
        <v/>
      </c>
      <c r="L171" s="78" t="str">
        <f aca="true">IF(E171="","",IF(K171&lt;=0,"Paid",IF(AND(G171&lt;&gt;"",TODAY()&gt;G171),"Overdue",IF(N(I171)&gt;0,"Partial","Open"))))</f>
        <v/>
      </c>
      <c r="M171" s="66" t="str">
        <f aca="true">IF(OR(E171="",G171=""),"",IF(K171&lt;=0,IF(H171="","",MAX(0,H171-G171)),MAX(0,TODAY()-G171)))</f>
        <v/>
      </c>
      <c r="N171" s="78" t="str">
        <f aca="true">IF(OR(E171="",G171=""),"",IF(K171&lt;=0,"",IF(TODAY()&lt;=G171,"Not due yet",IF(TODAY()-G171&lt;=30,"1-30 days late",IF(TODAY()-G171&lt;=60,"31-60 days late",IF(TODAY()-G171&lt;=90,"61-90 days late","90+ days late"))))))</f>
        <v/>
      </c>
      <c r="O171" s="66" t="str">
        <f aca="false">IF(OR(H171="",B171="",K171&gt;0),"",H171-B171)</f>
        <v/>
      </c>
    </row>
    <row r="172" customFormat="false" ht="15" hidden="false" customHeight="false" outlineLevel="0" collapsed="false">
      <c r="A172" s="51"/>
      <c r="B172" s="65"/>
      <c r="C172" s="51"/>
      <c r="D172" s="51"/>
      <c r="E172" s="76"/>
      <c r="F172" s="66" t="str">
        <f aca="false">IF(C172="","",IFERROR(1/(1/INDEX(Clients!$H$6:$H$25,MATCH(C172,Clients!$B$6:$B$25,0))),Settings!$C$10))</f>
        <v/>
      </c>
      <c r="G172" s="77" t="str">
        <f aca="false">IF(OR(B172="",F172=""),"",B172+F172)</f>
        <v/>
      </c>
      <c r="H172" s="65"/>
      <c r="I172" s="76"/>
      <c r="J172" s="51"/>
      <c r="K172" s="73" t="str">
        <f aca="false">IF(E172="","",E172-N(I172))</f>
        <v/>
      </c>
      <c r="L172" s="78" t="str">
        <f aca="true">IF(E172="","",IF(K172&lt;=0,"Paid",IF(AND(G172&lt;&gt;"",TODAY()&gt;G172),"Overdue",IF(N(I172)&gt;0,"Partial","Open"))))</f>
        <v/>
      </c>
      <c r="M172" s="66" t="str">
        <f aca="true">IF(OR(E172="",G172=""),"",IF(K172&lt;=0,IF(H172="","",MAX(0,H172-G172)),MAX(0,TODAY()-G172)))</f>
        <v/>
      </c>
      <c r="N172" s="78" t="str">
        <f aca="true">IF(OR(E172="",G172=""),"",IF(K172&lt;=0,"",IF(TODAY()&lt;=G172,"Not due yet",IF(TODAY()-G172&lt;=30,"1-30 days late",IF(TODAY()-G172&lt;=60,"31-60 days late",IF(TODAY()-G172&lt;=90,"61-90 days late","90+ days late"))))))</f>
        <v/>
      </c>
      <c r="O172" s="66" t="str">
        <f aca="false">IF(OR(H172="",B172="",K172&gt;0),"",H172-B172)</f>
        <v/>
      </c>
    </row>
    <row r="173" customFormat="false" ht="15" hidden="false" customHeight="false" outlineLevel="0" collapsed="false">
      <c r="A173" s="51"/>
      <c r="B173" s="65"/>
      <c r="C173" s="51"/>
      <c r="D173" s="51"/>
      <c r="E173" s="76"/>
      <c r="F173" s="66" t="str">
        <f aca="false">IF(C173="","",IFERROR(1/(1/INDEX(Clients!$H$6:$H$25,MATCH(C173,Clients!$B$6:$B$25,0))),Settings!$C$10))</f>
        <v/>
      </c>
      <c r="G173" s="77" t="str">
        <f aca="false">IF(OR(B173="",F173=""),"",B173+F173)</f>
        <v/>
      </c>
      <c r="H173" s="65"/>
      <c r="I173" s="76"/>
      <c r="J173" s="51"/>
      <c r="K173" s="73" t="str">
        <f aca="false">IF(E173="","",E173-N(I173))</f>
        <v/>
      </c>
      <c r="L173" s="78" t="str">
        <f aca="true">IF(E173="","",IF(K173&lt;=0,"Paid",IF(AND(G173&lt;&gt;"",TODAY()&gt;G173),"Overdue",IF(N(I173)&gt;0,"Partial","Open"))))</f>
        <v/>
      </c>
      <c r="M173" s="66" t="str">
        <f aca="true">IF(OR(E173="",G173=""),"",IF(K173&lt;=0,IF(H173="","",MAX(0,H173-G173)),MAX(0,TODAY()-G173)))</f>
        <v/>
      </c>
      <c r="N173" s="78" t="str">
        <f aca="true">IF(OR(E173="",G173=""),"",IF(K173&lt;=0,"",IF(TODAY()&lt;=G173,"Not due yet",IF(TODAY()-G173&lt;=30,"1-30 days late",IF(TODAY()-G173&lt;=60,"31-60 days late",IF(TODAY()-G173&lt;=90,"61-90 days late","90+ days late"))))))</f>
        <v/>
      </c>
      <c r="O173" s="66" t="str">
        <f aca="false">IF(OR(H173="",B173="",K173&gt;0),"",H173-B173)</f>
        <v/>
      </c>
    </row>
    <row r="174" customFormat="false" ht="15" hidden="false" customHeight="false" outlineLevel="0" collapsed="false">
      <c r="A174" s="51"/>
      <c r="B174" s="65"/>
      <c r="C174" s="51"/>
      <c r="D174" s="51"/>
      <c r="E174" s="76"/>
      <c r="F174" s="66" t="str">
        <f aca="false">IF(C174="","",IFERROR(1/(1/INDEX(Clients!$H$6:$H$25,MATCH(C174,Clients!$B$6:$B$25,0))),Settings!$C$10))</f>
        <v/>
      </c>
      <c r="G174" s="77" t="str">
        <f aca="false">IF(OR(B174="",F174=""),"",B174+F174)</f>
        <v/>
      </c>
      <c r="H174" s="65"/>
      <c r="I174" s="76"/>
      <c r="J174" s="51"/>
      <c r="K174" s="73" t="str">
        <f aca="false">IF(E174="","",E174-N(I174))</f>
        <v/>
      </c>
      <c r="L174" s="78" t="str">
        <f aca="true">IF(E174="","",IF(K174&lt;=0,"Paid",IF(AND(G174&lt;&gt;"",TODAY()&gt;G174),"Overdue",IF(N(I174)&gt;0,"Partial","Open"))))</f>
        <v/>
      </c>
      <c r="M174" s="66" t="str">
        <f aca="true">IF(OR(E174="",G174=""),"",IF(K174&lt;=0,IF(H174="","",MAX(0,H174-G174)),MAX(0,TODAY()-G174)))</f>
        <v/>
      </c>
      <c r="N174" s="78" t="str">
        <f aca="true">IF(OR(E174="",G174=""),"",IF(K174&lt;=0,"",IF(TODAY()&lt;=G174,"Not due yet",IF(TODAY()-G174&lt;=30,"1-30 days late",IF(TODAY()-G174&lt;=60,"31-60 days late",IF(TODAY()-G174&lt;=90,"61-90 days late","90+ days late"))))))</f>
        <v/>
      </c>
      <c r="O174" s="66" t="str">
        <f aca="false">IF(OR(H174="",B174="",K174&gt;0),"",H174-B174)</f>
        <v/>
      </c>
    </row>
    <row r="175" customFormat="false" ht="15" hidden="false" customHeight="false" outlineLevel="0" collapsed="false">
      <c r="A175" s="51"/>
      <c r="B175" s="65"/>
      <c r="C175" s="51"/>
      <c r="D175" s="51"/>
      <c r="E175" s="76"/>
      <c r="F175" s="66" t="str">
        <f aca="false">IF(C175="","",IFERROR(1/(1/INDEX(Clients!$H$6:$H$25,MATCH(C175,Clients!$B$6:$B$25,0))),Settings!$C$10))</f>
        <v/>
      </c>
      <c r="G175" s="77" t="str">
        <f aca="false">IF(OR(B175="",F175=""),"",B175+F175)</f>
        <v/>
      </c>
      <c r="H175" s="65"/>
      <c r="I175" s="76"/>
      <c r="J175" s="51"/>
      <c r="K175" s="73" t="str">
        <f aca="false">IF(E175="","",E175-N(I175))</f>
        <v/>
      </c>
      <c r="L175" s="78" t="str">
        <f aca="true">IF(E175="","",IF(K175&lt;=0,"Paid",IF(AND(G175&lt;&gt;"",TODAY()&gt;G175),"Overdue",IF(N(I175)&gt;0,"Partial","Open"))))</f>
        <v/>
      </c>
      <c r="M175" s="66" t="str">
        <f aca="true">IF(OR(E175="",G175=""),"",IF(K175&lt;=0,IF(H175="","",MAX(0,H175-G175)),MAX(0,TODAY()-G175)))</f>
        <v/>
      </c>
      <c r="N175" s="78" t="str">
        <f aca="true">IF(OR(E175="",G175=""),"",IF(K175&lt;=0,"",IF(TODAY()&lt;=G175,"Not due yet",IF(TODAY()-G175&lt;=30,"1-30 days late",IF(TODAY()-G175&lt;=60,"31-60 days late",IF(TODAY()-G175&lt;=90,"61-90 days late","90+ days late"))))))</f>
        <v/>
      </c>
      <c r="O175" s="66" t="str">
        <f aca="false">IF(OR(H175="",B175="",K175&gt;0),"",H175-B175)</f>
        <v/>
      </c>
    </row>
    <row r="176" customFormat="false" ht="15" hidden="false" customHeight="false" outlineLevel="0" collapsed="false">
      <c r="A176" s="51"/>
      <c r="B176" s="65"/>
      <c r="C176" s="51"/>
      <c r="D176" s="51"/>
      <c r="E176" s="76"/>
      <c r="F176" s="66" t="str">
        <f aca="false">IF(C176="","",IFERROR(1/(1/INDEX(Clients!$H$6:$H$25,MATCH(C176,Clients!$B$6:$B$25,0))),Settings!$C$10))</f>
        <v/>
      </c>
      <c r="G176" s="77" t="str">
        <f aca="false">IF(OR(B176="",F176=""),"",B176+F176)</f>
        <v/>
      </c>
      <c r="H176" s="65"/>
      <c r="I176" s="76"/>
      <c r="J176" s="51"/>
      <c r="K176" s="73" t="str">
        <f aca="false">IF(E176="","",E176-N(I176))</f>
        <v/>
      </c>
      <c r="L176" s="78" t="str">
        <f aca="true">IF(E176="","",IF(K176&lt;=0,"Paid",IF(AND(G176&lt;&gt;"",TODAY()&gt;G176),"Overdue",IF(N(I176)&gt;0,"Partial","Open"))))</f>
        <v/>
      </c>
      <c r="M176" s="66" t="str">
        <f aca="true">IF(OR(E176="",G176=""),"",IF(K176&lt;=0,IF(H176="","",MAX(0,H176-G176)),MAX(0,TODAY()-G176)))</f>
        <v/>
      </c>
      <c r="N176" s="78" t="str">
        <f aca="true">IF(OR(E176="",G176=""),"",IF(K176&lt;=0,"",IF(TODAY()&lt;=G176,"Not due yet",IF(TODAY()-G176&lt;=30,"1-30 days late",IF(TODAY()-G176&lt;=60,"31-60 days late",IF(TODAY()-G176&lt;=90,"61-90 days late","90+ days late"))))))</f>
        <v/>
      </c>
      <c r="O176" s="66" t="str">
        <f aca="false">IF(OR(H176="",B176="",K176&gt;0),"",H176-B176)</f>
        <v/>
      </c>
    </row>
    <row r="177" customFormat="false" ht="15" hidden="false" customHeight="false" outlineLevel="0" collapsed="false">
      <c r="A177" s="51"/>
      <c r="B177" s="65"/>
      <c r="C177" s="51"/>
      <c r="D177" s="51"/>
      <c r="E177" s="76"/>
      <c r="F177" s="66" t="str">
        <f aca="false">IF(C177="","",IFERROR(1/(1/INDEX(Clients!$H$6:$H$25,MATCH(C177,Clients!$B$6:$B$25,0))),Settings!$C$10))</f>
        <v/>
      </c>
      <c r="G177" s="77" t="str">
        <f aca="false">IF(OR(B177="",F177=""),"",B177+F177)</f>
        <v/>
      </c>
      <c r="H177" s="65"/>
      <c r="I177" s="76"/>
      <c r="J177" s="51"/>
      <c r="K177" s="73" t="str">
        <f aca="false">IF(E177="","",E177-N(I177))</f>
        <v/>
      </c>
      <c r="L177" s="78" t="str">
        <f aca="true">IF(E177="","",IF(K177&lt;=0,"Paid",IF(AND(G177&lt;&gt;"",TODAY()&gt;G177),"Overdue",IF(N(I177)&gt;0,"Partial","Open"))))</f>
        <v/>
      </c>
      <c r="M177" s="66" t="str">
        <f aca="true">IF(OR(E177="",G177=""),"",IF(K177&lt;=0,IF(H177="","",MAX(0,H177-G177)),MAX(0,TODAY()-G177)))</f>
        <v/>
      </c>
      <c r="N177" s="78" t="str">
        <f aca="true">IF(OR(E177="",G177=""),"",IF(K177&lt;=0,"",IF(TODAY()&lt;=G177,"Not due yet",IF(TODAY()-G177&lt;=30,"1-30 days late",IF(TODAY()-G177&lt;=60,"31-60 days late",IF(TODAY()-G177&lt;=90,"61-90 days late","90+ days late"))))))</f>
        <v/>
      </c>
      <c r="O177" s="66" t="str">
        <f aca="false">IF(OR(H177="",B177="",K177&gt;0),"",H177-B177)</f>
        <v/>
      </c>
    </row>
    <row r="178" customFormat="false" ht="15" hidden="false" customHeight="false" outlineLevel="0" collapsed="false">
      <c r="A178" s="51"/>
      <c r="B178" s="65"/>
      <c r="C178" s="51"/>
      <c r="D178" s="51"/>
      <c r="E178" s="76"/>
      <c r="F178" s="66" t="str">
        <f aca="false">IF(C178="","",IFERROR(1/(1/INDEX(Clients!$H$6:$H$25,MATCH(C178,Clients!$B$6:$B$25,0))),Settings!$C$10))</f>
        <v/>
      </c>
      <c r="G178" s="77" t="str">
        <f aca="false">IF(OR(B178="",F178=""),"",B178+F178)</f>
        <v/>
      </c>
      <c r="H178" s="65"/>
      <c r="I178" s="76"/>
      <c r="J178" s="51"/>
      <c r="K178" s="73" t="str">
        <f aca="false">IF(E178="","",E178-N(I178))</f>
        <v/>
      </c>
      <c r="L178" s="78" t="str">
        <f aca="true">IF(E178="","",IF(K178&lt;=0,"Paid",IF(AND(G178&lt;&gt;"",TODAY()&gt;G178),"Overdue",IF(N(I178)&gt;0,"Partial","Open"))))</f>
        <v/>
      </c>
      <c r="M178" s="66" t="str">
        <f aca="true">IF(OR(E178="",G178=""),"",IF(K178&lt;=0,IF(H178="","",MAX(0,H178-G178)),MAX(0,TODAY()-G178)))</f>
        <v/>
      </c>
      <c r="N178" s="78" t="str">
        <f aca="true">IF(OR(E178="",G178=""),"",IF(K178&lt;=0,"",IF(TODAY()&lt;=G178,"Not due yet",IF(TODAY()-G178&lt;=30,"1-30 days late",IF(TODAY()-G178&lt;=60,"31-60 days late",IF(TODAY()-G178&lt;=90,"61-90 days late","90+ days late"))))))</f>
        <v/>
      </c>
      <c r="O178" s="66" t="str">
        <f aca="false">IF(OR(H178="",B178="",K178&gt;0),"",H178-B178)</f>
        <v/>
      </c>
    </row>
    <row r="179" customFormat="false" ht="15" hidden="false" customHeight="false" outlineLevel="0" collapsed="false">
      <c r="A179" s="51"/>
      <c r="B179" s="65"/>
      <c r="C179" s="51"/>
      <c r="D179" s="51"/>
      <c r="E179" s="76"/>
      <c r="F179" s="66" t="str">
        <f aca="false">IF(C179="","",IFERROR(1/(1/INDEX(Clients!$H$6:$H$25,MATCH(C179,Clients!$B$6:$B$25,0))),Settings!$C$10))</f>
        <v/>
      </c>
      <c r="G179" s="77" t="str">
        <f aca="false">IF(OR(B179="",F179=""),"",B179+F179)</f>
        <v/>
      </c>
      <c r="H179" s="65"/>
      <c r="I179" s="76"/>
      <c r="J179" s="51"/>
      <c r="K179" s="73" t="str">
        <f aca="false">IF(E179="","",E179-N(I179))</f>
        <v/>
      </c>
      <c r="L179" s="78" t="str">
        <f aca="true">IF(E179="","",IF(K179&lt;=0,"Paid",IF(AND(G179&lt;&gt;"",TODAY()&gt;G179),"Overdue",IF(N(I179)&gt;0,"Partial","Open"))))</f>
        <v/>
      </c>
      <c r="M179" s="66" t="str">
        <f aca="true">IF(OR(E179="",G179=""),"",IF(K179&lt;=0,IF(H179="","",MAX(0,H179-G179)),MAX(0,TODAY()-G179)))</f>
        <v/>
      </c>
      <c r="N179" s="78" t="str">
        <f aca="true">IF(OR(E179="",G179=""),"",IF(K179&lt;=0,"",IF(TODAY()&lt;=G179,"Not due yet",IF(TODAY()-G179&lt;=30,"1-30 days late",IF(TODAY()-G179&lt;=60,"31-60 days late",IF(TODAY()-G179&lt;=90,"61-90 days late","90+ days late"))))))</f>
        <v/>
      </c>
      <c r="O179" s="66" t="str">
        <f aca="false">IF(OR(H179="",B179="",K179&gt;0),"",H179-B179)</f>
        <v/>
      </c>
    </row>
    <row r="180" customFormat="false" ht="15" hidden="false" customHeight="false" outlineLevel="0" collapsed="false">
      <c r="A180" s="51"/>
      <c r="B180" s="65"/>
      <c r="C180" s="51"/>
      <c r="D180" s="51"/>
      <c r="E180" s="76"/>
      <c r="F180" s="66" t="str">
        <f aca="false">IF(C180="","",IFERROR(1/(1/INDEX(Clients!$H$6:$H$25,MATCH(C180,Clients!$B$6:$B$25,0))),Settings!$C$10))</f>
        <v/>
      </c>
      <c r="G180" s="77" t="str">
        <f aca="false">IF(OR(B180="",F180=""),"",B180+F180)</f>
        <v/>
      </c>
      <c r="H180" s="65"/>
      <c r="I180" s="76"/>
      <c r="J180" s="51"/>
      <c r="K180" s="73" t="str">
        <f aca="false">IF(E180="","",E180-N(I180))</f>
        <v/>
      </c>
      <c r="L180" s="78" t="str">
        <f aca="true">IF(E180="","",IF(K180&lt;=0,"Paid",IF(AND(G180&lt;&gt;"",TODAY()&gt;G180),"Overdue",IF(N(I180)&gt;0,"Partial","Open"))))</f>
        <v/>
      </c>
      <c r="M180" s="66" t="str">
        <f aca="true">IF(OR(E180="",G180=""),"",IF(K180&lt;=0,IF(H180="","",MAX(0,H180-G180)),MAX(0,TODAY()-G180)))</f>
        <v/>
      </c>
      <c r="N180" s="78" t="str">
        <f aca="true">IF(OR(E180="",G180=""),"",IF(K180&lt;=0,"",IF(TODAY()&lt;=G180,"Not due yet",IF(TODAY()-G180&lt;=30,"1-30 days late",IF(TODAY()-G180&lt;=60,"31-60 days late",IF(TODAY()-G180&lt;=90,"61-90 days late","90+ days late"))))))</f>
        <v/>
      </c>
      <c r="O180" s="66" t="str">
        <f aca="false">IF(OR(H180="",B180="",K180&gt;0),"",H180-B180)</f>
        <v/>
      </c>
    </row>
    <row r="181" customFormat="false" ht="15" hidden="false" customHeight="false" outlineLevel="0" collapsed="false">
      <c r="A181" s="51"/>
      <c r="B181" s="65"/>
      <c r="C181" s="51"/>
      <c r="D181" s="51"/>
      <c r="E181" s="76"/>
      <c r="F181" s="66" t="str">
        <f aca="false">IF(C181="","",IFERROR(1/(1/INDEX(Clients!$H$6:$H$25,MATCH(C181,Clients!$B$6:$B$25,0))),Settings!$C$10))</f>
        <v/>
      </c>
      <c r="G181" s="77" t="str">
        <f aca="false">IF(OR(B181="",F181=""),"",B181+F181)</f>
        <v/>
      </c>
      <c r="H181" s="65"/>
      <c r="I181" s="76"/>
      <c r="J181" s="51"/>
      <c r="K181" s="73" t="str">
        <f aca="false">IF(E181="","",E181-N(I181))</f>
        <v/>
      </c>
      <c r="L181" s="78" t="str">
        <f aca="true">IF(E181="","",IF(K181&lt;=0,"Paid",IF(AND(G181&lt;&gt;"",TODAY()&gt;G181),"Overdue",IF(N(I181)&gt;0,"Partial","Open"))))</f>
        <v/>
      </c>
      <c r="M181" s="66" t="str">
        <f aca="true">IF(OR(E181="",G181=""),"",IF(K181&lt;=0,IF(H181="","",MAX(0,H181-G181)),MAX(0,TODAY()-G181)))</f>
        <v/>
      </c>
      <c r="N181" s="78" t="str">
        <f aca="true">IF(OR(E181="",G181=""),"",IF(K181&lt;=0,"",IF(TODAY()&lt;=G181,"Not due yet",IF(TODAY()-G181&lt;=30,"1-30 days late",IF(TODAY()-G181&lt;=60,"31-60 days late",IF(TODAY()-G181&lt;=90,"61-90 days late","90+ days late"))))))</f>
        <v/>
      </c>
      <c r="O181" s="66" t="str">
        <f aca="false">IF(OR(H181="",B181="",K181&gt;0),"",H181-B181)</f>
        <v/>
      </c>
    </row>
    <row r="182" customFormat="false" ht="15" hidden="false" customHeight="false" outlineLevel="0" collapsed="false">
      <c r="A182" s="51"/>
      <c r="B182" s="65"/>
      <c r="C182" s="51"/>
      <c r="D182" s="51"/>
      <c r="E182" s="76"/>
      <c r="F182" s="66" t="str">
        <f aca="false">IF(C182="","",IFERROR(1/(1/INDEX(Clients!$H$6:$H$25,MATCH(C182,Clients!$B$6:$B$25,0))),Settings!$C$10))</f>
        <v/>
      </c>
      <c r="G182" s="77" t="str">
        <f aca="false">IF(OR(B182="",F182=""),"",B182+F182)</f>
        <v/>
      </c>
      <c r="H182" s="65"/>
      <c r="I182" s="76"/>
      <c r="J182" s="51"/>
      <c r="K182" s="73" t="str">
        <f aca="false">IF(E182="","",E182-N(I182))</f>
        <v/>
      </c>
      <c r="L182" s="78" t="str">
        <f aca="true">IF(E182="","",IF(K182&lt;=0,"Paid",IF(AND(G182&lt;&gt;"",TODAY()&gt;G182),"Overdue",IF(N(I182)&gt;0,"Partial","Open"))))</f>
        <v/>
      </c>
      <c r="M182" s="66" t="str">
        <f aca="true">IF(OR(E182="",G182=""),"",IF(K182&lt;=0,IF(H182="","",MAX(0,H182-G182)),MAX(0,TODAY()-G182)))</f>
        <v/>
      </c>
      <c r="N182" s="78" t="str">
        <f aca="true">IF(OR(E182="",G182=""),"",IF(K182&lt;=0,"",IF(TODAY()&lt;=G182,"Not due yet",IF(TODAY()-G182&lt;=30,"1-30 days late",IF(TODAY()-G182&lt;=60,"31-60 days late",IF(TODAY()-G182&lt;=90,"61-90 days late","90+ days late"))))))</f>
        <v/>
      </c>
      <c r="O182" s="66" t="str">
        <f aca="false">IF(OR(H182="",B182="",K182&gt;0),"",H182-B182)</f>
        <v/>
      </c>
    </row>
    <row r="183" customFormat="false" ht="15" hidden="false" customHeight="false" outlineLevel="0" collapsed="false">
      <c r="A183" s="51"/>
      <c r="B183" s="65"/>
      <c r="C183" s="51"/>
      <c r="D183" s="51"/>
      <c r="E183" s="76"/>
      <c r="F183" s="66" t="str">
        <f aca="false">IF(C183="","",IFERROR(1/(1/INDEX(Clients!$H$6:$H$25,MATCH(C183,Clients!$B$6:$B$25,0))),Settings!$C$10))</f>
        <v/>
      </c>
      <c r="G183" s="77" t="str">
        <f aca="false">IF(OR(B183="",F183=""),"",B183+F183)</f>
        <v/>
      </c>
      <c r="H183" s="65"/>
      <c r="I183" s="76"/>
      <c r="J183" s="51"/>
      <c r="K183" s="73" t="str">
        <f aca="false">IF(E183="","",E183-N(I183))</f>
        <v/>
      </c>
      <c r="L183" s="78" t="str">
        <f aca="true">IF(E183="","",IF(K183&lt;=0,"Paid",IF(AND(G183&lt;&gt;"",TODAY()&gt;G183),"Overdue",IF(N(I183)&gt;0,"Partial","Open"))))</f>
        <v/>
      </c>
      <c r="M183" s="66" t="str">
        <f aca="true">IF(OR(E183="",G183=""),"",IF(K183&lt;=0,IF(H183="","",MAX(0,H183-G183)),MAX(0,TODAY()-G183)))</f>
        <v/>
      </c>
      <c r="N183" s="78" t="str">
        <f aca="true">IF(OR(E183="",G183=""),"",IF(K183&lt;=0,"",IF(TODAY()&lt;=G183,"Not due yet",IF(TODAY()-G183&lt;=30,"1-30 days late",IF(TODAY()-G183&lt;=60,"31-60 days late",IF(TODAY()-G183&lt;=90,"61-90 days late","90+ days late"))))))</f>
        <v/>
      </c>
      <c r="O183" s="66" t="str">
        <f aca="false">IF(OR(H183="",B183="",K183&gt;0),"",H183-B183)</f>
        <v/>
      </c>
    </row>
    <row r="184" customFormat="false" ht="15" hidden="false" customHeight="false" outlineLevel="0" collapsed="false">
      <c r="A184" s="51"/>
      <c r="B184" s="65"/>
      <c r="C184" s="51"/>
      <c r="D184" s="51"/>
      <c r="E184" s="76"/>
      <c r="F184" s="66" t="str">
        <f aca="false">IF(C184="","",IFERROR(1/(1/INDEX(Clients!$H$6:$H$25,MATCH(C184,Clients!$B$6:$B$25,0))),Settings!$C$10))</f>
        <v/>
      </c>
      <c r="G184" s="77" t="str">
        <f aca="false">IF(OR(B184="",F184=""),"",B184+F184)</f>
        <v/>
      </c>
      <c r="H184" s="65"/>
      <c r="I184" s="76"/>
      <c r="J184" s="51"/>
      <c r="K184" s="73" t="str">
        <f aca="false">IF(E184="","",E184-N(I184))</f>
        <v/>
      </c>
      <c r="L184" s="78" t="str">
        <f aca="true">IF(E184="","",IF(K184&lt;=0,"Paid",IF(AND(G184&lt;&gt;"",TODAY()&gt;G184),"Overdue",IF(N(I184)&gt;0,"Partial","Open"))))</f>
        <v/>
      </c>
      <c r="M184" s="66" t="str">
        <f aca="true">IF(OR(E184="",G184=""),"",IF(K184&lt;=0,IF(H184="","",MAX(0,H184-G184)),MAX(0,TODAY()-G184)))</f>
        <v/>
      </c>
      <c r="N184" s="78" t="str">
        <f aca="true">IF(OR(E184="",G184=""),"",IF(K184&lt;=0,"",IF(TODAY()&lt;=G184,"Not due yet",IF(TODAY()-G184&lt;=30,"1-30 days late",IF(TODAY()-G184&lt;=60,"31-60 days late",IF(TODAY()-G184&lt;=90,"61-90 days late","90+ days late"))))))</f>
        <v/>
      </c>
      <c r="O184" s="66" t="str">
        <f aca="false">IF(OR(H184="",B184="",K184&gt;0),"",H184-B184)</f>
        <v/>
      </c>
    </row>
    <row r="185" customFormat="false" ht="15" hidden="false" customHeight="false" outlineLevel="0" collapsed="false">
      <c r="A185" s="51"/>
      <c r="B185" s="65"/>
      <c r="C185" s="51"/>
      <c r="D185" s="51"/>
      <c r="E185" s="76"/>
      <c r="F185" s="66" t="str">
        <f aca="false">IF(C185="","",IFERROR(1/(1/INDEX(Clients!$H$6:$H$25,MATCH(C185,Clients!$B$6:$B$25,0))),Settings!$C$10))</f>
        <v/>
      </c>
      <c r="G185" s="77" t="str">
        <f aca="false">IF(OR(B185="",F185=""),"",B185+F185)</f>
        <v/>
      </c>
      <c r="H185" s="65"/>
      <c r="I185" s="76"/>
      <c r="J185" s="51"/>
      <c r="K185" s="73" t="str">
        <f aca="false">IF(E185="","",E185-N(I185))</f>
        <v/>
      </c>
      <c r="L185" s="78" t="str">
        <f aca="true">IF(E185="","",IF(K185&lt;=0,"Paid",IF(AND(G185&lt;&gt;"",TODAY()&gt;G185),"Overdue",IF(N(I185)&gt;0,"Partial","Open"))))</f>
        <v/>
      </c>
      <c r="M185" s="66" t="str">
        <f aca="true">IF(OR(E185="",G185=""),"",IF(K185&lt;=0,IF(H185="","",MAX(0,H185-G185)),MAX(0,TODAY()-G185)))</f>
        <v/>
      </c>
      <c r="N185" s="78" t="str">
        <f aca="true">IF(OR(E185="",G185=""),"",IF(K185&lt;=0,"",IF(TODAY()&lt;=G185,"Not due yet",IF(TODAY()-G185&lt;=30,"1-30 days late",IF(TODAY()-G185&lt;=60,"31-60 days late",IF(TODAY()-G185&lt;=90,"61-90 days late","90+ days late"))))))</f>
        <v/>
      </c>
      <c r="O185" s="66" t="str">
        <f aca="false">IF(OR(H185="",B185="",K185&gt;0),"",H185-B185)</f>
        <v/>
      </c>
    </row>
    <row r="186" customFormat="false" ht="15" hidden="false" customHeight="false" outlineLevel="0" collapsed="false">
      <c r="A186" s="51"/>
      <c r="B186" s="65"/>
      <c r="C186" s="51"/>
      <c r="D186" s="51"/>
      <c r="E186" s="76"/>
      <c r="F186" s="66" t="str">
        <f aca="false">IF(C186="","",IFERROR(1/(1/INDEX(Clients!$H$6:$H$25,MATCH(C186,Clients!$B$6:$B$25,0))),Settings!$C$10))</f>
        <v/>
      </c>
      <c r="G186" s="77" t="str">
        <f aca="false">IF(OR(B186="",F186=""),"",B186+F186)</f>
        <v/>
      </c>
      <c r="H186" s="65"/>
      <c r="I186" s="76"/>
      <c r="J186" s="51"/>
      <c r="K186" s="73" t="str">
        <f aca="false">IF(E186="","",E186-N(I186))</f>
        <v/>
      </c>
      <c r="L186" s="78" t="str">
        <f aca="true">IF(E186="","",IF(K186&lt;=0,"Paid",IF(AND(G186&lt;&gt;"",TODAY()&gt;G186),"Overdue",IF(N(I186)&gt;0,"Partial","Open"))))</f>
        <v/>
      </c>
      <c r="M186" s="66" t="str">
        <f aca="true">IF(OR(E186="",G186=""),"",IF(K186&lt;=0,IF(H186="","",MAX(0,H186-G186)),MAX(0,TODAY()-G186)))</f>
        <v/>
      </c>
      <c r="N186" s="78" t="str">
        <f aca="true">IF(OR(E186="",G186=""),"",IF(K186&lt;=0,"",IF(TODAY()&lt;=G186,"Not due yet",IF(TODAY()-G186&lt;=30,"1-30 days late",IF(TODAY()-G186&lt;=60,"31-60 days late",IF(TODAY()-G186&lt;=90,"61-90 days late","90+ days late"))))))</f>
        <v/>
      </c>
      <c r="O186" s="66" t="str">
        <f aca="false">IF(OR(H186="",B186="",K186&gt;0),"",H186-B186)</f>
        <v/>
      </c>
    </row>
    <row r="187" customFormat="false" ht="15" hidden="false" customHeight="false" outlineLevel="0" collapsed="false">
      <c r="A187" s="51"/>
      <c r="B187" s="65"/>
      <c r="C187" s="51"/>
      <c r="D187" s="51"/>
      <c r="E187" s="76"/>
      <c r="F187" s="66" t="str">
        <f aca="false">IF(C187="","",IFERROR(1/(1/INDEX(Clients!$H$6:$H$25,MATCH(C187,Clients!$B$6:$B$25,0))),Settings!$C$10))</f>
        <v/>
      </c>
      <c r="G187" s="77" t="str">
        <f aca="false">IF(OR(B187="",F187=""),"",B187+F187)</f>
        <v/>
      </c>
      <c r="H187" s="65"/>
      <c r="I187" s="76"/>
      <c r="J187" s="51"/>
      <c r="K187" s="73" t="str">
        <f aca="false">IF(E187="","",E187-N(I187))</f>
        <v/>
      </c>
      <c r="L187" s="78" t="str">
        <f aca="true">IF(E187="","",IF(K187&lt;=0,"Paid",IF(AND(G187&lt;&gt;"",TODAY()&gt;G187),"Overdue",IF(N(I187)&gt;0,"Partial","Open"))))</f>
        <v/>
      </c>
      <c r="M187" s="66" t="str">
        <f aca="true">IF(OR(E187="",G187=""),"",IF(K187&lt;=0,IF(H187="","",MAX(0,H187-G187)),MAX(0,TODAY()-G187)))</f>
        <v/>
      </c>
      <c r="N187" s="78" t="str">
        <f aca="true">IF(OR(E187="",G187=""),"",IF(K187&lt;=0,"",IF(TODAY()&lt;=G187,"Not due yet",IF(TODAY()-G187&lt;=30,"1-30 days late",IF(TODAY()-G187&lt;=60,"31-60 days late",IF(TODAY()-G187&lt;=90,"61-90 days late","90+ days late"))))))</f>
        <v/>
      </c>
      <c r="O187" s="66" t="str">
        <f aca="false">IF(OR(H187="",B187="",K187&gt;0),"",H187-B187)</f>
        <v/>
      </c>
    </row>
    <row r="188" customFormat="false" ht="15" hidden="false" customHeight="false" outlineLevel="0" collapsed="false">
      <c r="A188" s="51"/>
      <c r="B188" s="65"/>
      <c r="C188" s="51"/>
      <c r="D188" s="51"/>
      <c r="E188" s="76"/>
      <c r="F188" s="66" t="str">
        <f aca="false">IF(C188="","",IFERROR(1/(1/INDEX(Clients!$H$6:$H$25,MATCH(C188,Clients!$B$6:$B$25,0))),Settings!$C$10))</f>
        <v/>
      </c>
      <c r="G188" s="77" t="str">
        <f aca="false">IF(OR(B188="",F188=""),"",B188+F188)</f>
        <v/>
      </c>
      <c r="H188" s="65"/>
      <c r="I188" s="76"/>
      <c r="J188" s="51"/>
      <c r="K188" s="73" t="str">
        <f aca="false">IF(E188="","",E188-N(I188))</f>
        <v/>
      </c>
      <c r="L188" s="78" t="str">
        <f aca="true">IF(E188="","",IF(K188&lt;=0,"Paid",IF(AND(G188&lt;&gt;"",TODAY()&gt;G188),"Overdue",IF(N(I188)&gt;0,"Partial","Open"))))</f>
        <v/>
      </c>
      <c r="M188" s="66" t="str">
        <f aca="true">IF(OR(E188="",G188=""),"",IF(K188&lt;=0,IF(H188="","",MAX(0,H188-G188)),MAX(0,TODAY()-G188)))</f>
        <v/>
      </c>
      <c r="N188" s="78" t="str">
        <f aca="true">IF(OR(E188="",G188=""),"",IF(K188&lt;=0,"",IF(TODAY()&lt;=G188,"Not due yet",IF(TODAY()-G188&lt;=30,"1-30 days late",IF(TODAY()-G188&lt;=60,"31-60 days late",IF(TODAY()-G188&lt;=90,"61-90 days late","90+ days late"))))))</f>
        <v/>
      </c>
      <c r="O188" s="66" t="str">
        <f aca="false">IF(OR(H188="",B188="",K188&gt;0),"",H188-B188)</f>
        <v/>
      </c>
    </row>
    <row r="189" customFormat="false" ht="15" hidden="false" customHeight="false" outlineLevel="0" collapsed="false">
      <c r="A189" s="51"/>
      <c r="B189" s="65"/>
      <c r="C189" s="51"/>
      <c r="D189" s="51"/>
      <c r="E189" s="76"/>
      <c r="F189" s="66" t="str">
        <f aca="false">IF(C189="","",IFERROR(1/(1/INDEX(Clients!$H$6:$H$25,MATCH(C189,Clients!$B$6:$B$25,0))),Settings!$C$10))</f>
        <v/>
      </c>
      <c r="G189" s="77" t="str">
        <f aca="false">IF(OR(B189="",F189=""),"",B189+F189)</f>
        <v/>
      </c>
      <c r="H189" s="65"/>
      <c r="I189" s="76"/>
      <c r="J189" s="51"/>
      <c r="K189" s="73" t="str">
        <f aca="false">IF(E189="","",E189-N(I189))</f>
        <v/>
      </c>
      <c r="L189" s="78" t="str">
        <f aca="true">IF(E189="","",IF(K189&lt;=0,"Paid",IF(AND(G189&lt;&gt;"",TODAY()&gt;G189),"Overdue",IF(N(I189)&gt;0,"Partial","Open"))))</f>
        <v/>
      </c>
      <c r="M189" s="66" t="str">
        <f aca="true">IF(OR(E189="",G189=""),"",IF(K189&lt;=0,IF(H189="","",MAX(0,H189-G189)),MAX(0,TODAY()-G189)))</f>
        <v/>
      </c>
      <c r="N189" s="78" t="str">
        <f aca="true">IF(OR(E189="",G189=""),"",IF(K189&lt;=0,"",IF(TODAY()&lt;=G189,"Not due yet",IF(TODAY()-G189&lt;=30,"1-30 days late",IF(TODAY()-G189&lt;=60,"31-60 days late",IF(TODAY()-G189&lt;=90,"61-90 days late","90+ days late"))))))</f>
        <v/>
      </c>
      <c r="O189" s="66" t="str">
        <f aca="false">IF(OR(H189="",B189="",K189&gt;0),"",H189-B189)</f>
        <v/>
      </c>
    </row>
    <row r="190" customFormat="false" ht="15" hidden="false" customHeight="false" outlineLevel="0" collapsed="false">
      <c r="A190" s="51"/>
      <c r="B190" s="65"/>
      <c r="C190" s="51"/>
      <c r="D190" s="51"/>
      <c r="E190" s="76"/>
      <c r="F190" s="66" t="str">
        <f aca="false">IF(C190="","",IFERROR(1/(1/INDEX(Clients!$H$6:$H$25,MATCH(C190,Clients!$B$6:$B$25,0))),Settings!$C$10))</f>
        <v/>
      </c>
      <c r="G190" s="77" t="str">
        <f aca="false">IF(OR(B190="",F190=""),"",B190+F190)</f>
        <v/>
      </c>
      <c r="H190" s="65"/>
      <c r="I190" s="76"/>
      <c r="J190" s="51"/>
      <c r="K190" s="73" t="str">
        <f aca="false">IF(E190="","",E190-N(I190))</f>
        <v/>
      </c>
      <c r="L190" s="78" t="str">
        <f aca="true">IF(E190="","",IF(K190&lt;=0,"Paid",IF(AND(G190&lt;&gt;"",TODAY()&gt;G190),"Overdue",IF(N(I190)&gt;0,"Partial","Open"))))</f>
        <v/>
      </c>
      <c r="M190" s="66" t="str">
        <f aca="true">IF(OR(E190="",G190=""),"",IF(K190&lt;=0,IF(H190="","",MAX(0,H190-G190)),MAX(0,TODAY()-G190)))</f>
        <v/>
      </c>
      <c r="N190" s="78" t="str">
        <f aca="true">IF(OR(E190="",G190=""),"",IF(K190&lt;=0,"",IF(TODAY()&lt;=G190,"Not due yet",IF(TODAY()-G190&lt;=30,"1-30 days late",IF(TODAY()-G190&lt;=60,"31-60 days late",IF(TODAY()-G190&lt;=90,"61-90 days late","90+ days late"))))))</f>
        <v/>
      </c>
      <c r="O190" s="66" t="str">
        <f aca="false">IF(OR(H190="",B190="",K190&gt;0),"",H190-B190)</f>
        <v/>
      </c>
    </row>
    <row r="191" customFormat="false" ht="15" hidden="false" customHeight="false" outlineLevel="0" collapsed="false">
      <c r="A191" s="51"/>
      <c r="B191" s="65"/>
      <c r="C191" s="51"/>
      <c r="D191" s="51"/>
      <c r="E191" s="76"/>
      <c r="F191" s="66" t="str">
        <f aca="false">IF(C191="","",IFERROR(1/(1/INDEX(Clients!$H$6:$H$25,MATCH(C191,Clients!$B$6:$B$25,0))),Settings!$C$10))</f>
        <v/>
      </c>
      <c r="G191" s="77" t="str">
        <f aca="false">IF(OR(B191="",F191=""),"",B191+F191)</f>
        <v/>
      </c>
      <c r="H191" s="65"/>
      <c r="I191" s="76"/>
      <c r="J191" s="51"/>
      <c r="K191" s="73" t="str">
        <f aca="false">IF(E191="","",E191-N(I191))</f>
        <v/>
      </c>
      <c r="L191" s="78" t="str">
        <f aca="true">IF(E191="","",IF(K191&lt;=0,"Paid",IF(AND(G191&lt;&gt;"",TODAY()&gt;G191),"Overdue",IF(N(I191)&gt;0,"Partial","Open"))))</f>
        <v/>
      </c>
      <c r="M191" s="66" t="str">
        <f aca="true">IF(OR(E191="",G191=""),"",IF(K191&lt;=0,IF(H191="","",MAX(0,H191-G191)),MAX(0,TODAY()-G191)))</f>
        <v/>
      </c>
      <c r="N191" s="78" t="str">
        <f aca="true">IF(OR(E191="",G191=""),"",IF(K191&lt;=0,"",IF(TODAY()&lt;=G191,"Not due yet",IF(TODAY()-G191&lt;=30,"1-30 days late",IF(TODAY()-G191&lt;=60,"31-60 days late",IF(TODAY()-G191&lt;=90,"61-90 days late","90+ days late"))))))</f>
        <v/>
      </c>
      <c r="O191" s="66" t="str">
        <f aca="false">IF(OR(H191="",B191="",K191&gt;0),"",H191-B191)</f>
        <v/>
      </c>
    </row>
    <row r="192" customFormat="false" ht="15" hidden="false" customHeight="false" outlineLevel="0" collapsed="false">
      <c r="A192" s="51"/>
      <c r="B192" s="65"/>
      <c r="C192" s="51"/>
      <c r="D192" s="51"/>
      <c r="E192" s="76"/>
      <c r="F192" s="66" t="str">
        <f aca="false">IF(C192="","",IFERROR(1/(1/INDEX(Clients!$H$6:$H$25,MATCH(C192,Clients!$B$6:$B$25,0))),Settings!$C$10))</f>
        <v/>
      </c>
      <c r="G192" s="77" t="str">
        <f aca="false">IF(OR(B192="",F192=""),"",B192+F192)</f>
        <v/>
      </c>
      <c r="H192" s="65"/>
      <c r="I192" s="76"/>
      <c r="J192" s="51"/>
      <c r="K192" s="73" t="str">
        <f aca="false">IF(E192="","",E192-N(I192))</f>
        <v/>
      </c>
      <c r="L192" s="78" t="str">
        <f aca="true">IF(E192="","",IF(K192&lt;=0,"Paid",IF(AND(G192&lt;&gt;"",TODAY()&gt;G192),"Overdue",IF(N(I192)&gt;0,"Partial","Open"))))</f>
        <v/>
      </c>
      <c r="M192" s="66" t="str">
        <f aca="true">IF(OR(E192="",G192=""),"",IF(K192&lt;=0,IF(H192="","",MAX(0,H192-G192)),MAX(0,TODAY()-G192)))</f>
        <v/>
      </c>
      <c r="N192" s="78" t="str">
        <f aca="true">IF(OR(E192="",G192=""),"",IF(K192&lt;=0,"",IF(TODAY()&lt;=G192,"Not due yet",IF(TODAY()-G192&lt;=30,"1-30 days late",IF(TODAY()-G192&lt;=60,"31-60 days late",IF(TODAY()-G192&lt;=90,"61-90 days late","90+ days late"))))))</f>
        <v/>
      </c>
      <c r="O192" s="66" t="str">
        <f aca="false">IF(OR(H192="",B192="",K192&gt;0),"",H192-B192)</f>
        <v/>
      </c>
    </row>
    <row r="193" customFormat="false" ht="15" hidden="false" customHeight="false" outlineLevel="0" collapsed="false">
      <c r="A193" s="51"/>
      <c r="B193" s="65"/>
      <c r="C193" s="51"/>
      <c r="D193" s="51"/>
      <c r="E193" s="76"/>
      <c r="F193" s="66" t="str">
        <f aca="false">IF(C193="","",IFERROR(1/(1/INDEX(Clients!$H$6:$H$25,MATCH(C193,Clients!$B$6:$B$25,0))),Settings!$C$10))</f>
        <v/>
      </c>
      <c r="G193" s="77" t="str">
        <f aca="false">IF(OR(B193="",F193=""),"",B193+F193)</f>
        <v/>
      </c>
      <c r="H193" s="65"/>
      <c r="I193" s="76"/>
      <c r="J193" s="51"/>
      <c r="K193" s="73" t="str">
        <f aca="false">IF(E193="","",E193-N(I193))</f>
        <v/>
      </c>
      <c r="L193" s="78" t="str">
        <f aca="true">IF(E193="","",IF(K193&lt;=0,"Paid",IF(AND(G193&lt;&gt;"",TODAY()&gt;G193),"Overdue",IF(N(I193)&gt;0,"Partial","Open"))))</f>
        <v/>
      </c>
      <c r="M193" s="66" t="str">
        <f aca="true">IF(OR(E193="",G193=""),"",IF(K193&lt;=0,IF(H193="","",MAX(0,H193-G193)),MAX(0,TODAY()-G193)))</f>
        <v/>
      </c>
      <c r="N193" s="78" t="str">
        <f aca="true">IF(OR(E193="",G193=""),"",IF(K193&lt;=0,"",IF(TODAY()&lt;=G193,"Not due yet",IF(TODAY()-G193&lt;=30,"1-30 days late",IF(TODAY()-G193&lt;=60,"31-60 days late",IF(TODAY()-G193&lt;=90,"61-90 days late","90+ days late"))))))</f>
        <v/>
      </c>
      <c r="O193" s="66" t="str">
        <f aca="false">IF(OR(H193="",B193="",K193&gt;0),"",H193-B193)</f>
        <v/>
      </c>
    </row>
    <row r="194" customFormat="false" ht="15" hidden="false" customHeight="false" outlineLevel="0" collapsed="false">
      <c r="A194" s="51"/>
      <c r="B194" s="65"/>
      <c r="C194" s="51"/>
      <c r="D194" s="51"/>
      <c r="E194" s="76"/>
      <c r="F194" s="66" t="str">
        <f aca="false">IF(C194="","",IFERROR(1/(1/INDEX(Clients!$H$6:$H$25,MATCH(C194,Clients!$B$6:$B$25,0))),Settings!$C$10))</f>
        <v/>
      </c>
      <c r="G194" s="77" t="str">
        <f aca="false">IF(OR(B194="",F194=""),"",B194+F194)</f>
        <v/>
      </c>
      <c r="H194" s="65"/>
      <c r="I194" s="76"/>
      <c r="J194" s="51"/>
      <c r="K194" s="73" t="str">
        <f aca="false">IF(E194="","",E194-N(I194))</f>
        <v/>
      </c>
      <c r="L194" s="78" t="str">
        <f aca="true">IF(E194="","",IF(K194&lt;=0,"Paid",IF(AND(G194&lt;&gt;"",TODAY()&gt;G194),"Overdue",IF(N(I194)&gt;0,"Partial","Open"))))</f>
        <v/>
      </c>
      <c r="M194" s="66" t="str">
        <f aca="true">IF(OR(E194="",G194=""),"",IF(K194&lt;=0,IF(H194="","",MAX(0,H194-G194)),MAX(0,TODAY()-G194)))</f>
        <v/>
      </c>
      <c r="N194" s="78" t="str">
        <f aca="true">IF(OR(E194="",G194=""),"",IF(K194&lt;=0,"",IF(TODAY()&lt;=G194,"Not due yet",IF(TODAY()-G194&lt;=30,"1-30 days late",IF(TODAY()-G194&lt;=60,"31-60 days late",IF(TODAY()-G194&lt;=90,"61-90 days late","90+ days late"))))))</f>
        <v/>
      </c>
      <c r="O194" s="66" t="str">
        <f aca="false">IF(OR(H194="",B194="",K194&gt;0),"",H194-B194)</f>
        <v/>
      </c>
    </row>
    <row r="195" customFormat="false" ht="15" hidden="false" customHeight="false" outlineLevel="0" collapsed="false">
      <c r="A195" s="51"/>
      <c r="B195" s="65"/>
      <c r="C195" s="51"/>
      <c r="D195" s="51"/>
      <c r="E195" s="76"/>
      <c r="F195" s="66" t="str">
        <f aca="false">IF(C195="","",IFERROR(1/(1/INDEX(Clients!$H$6:$H$25,MATCH(C195,Clients!$B$6:$B$25,0))),Settings!$C$10))</f>
        <v/>
      </c>
      <c r="G195" s="77" t="str">
        <f aca="false">IF(OR(B195="",F195=""),"",B195+F195)</f>
        <v/>
      </c>
      <c r="H195" s="65"/>
      <c r="I195" s="76"/>
      <c r="J195" s="51"/>
      <c r="K195" s="73" t="str">
        <f aca="false">IF(E195="","",E195-N(I195))</f>
        <v/>
      </c>
      <c r="L195" s="78" t="str">
        <f aca="true">IF(E195="","",IF(K195&lt;=0,"Paid",IF(AND(G195&lt;&gt;"",TODAY()&gt;G195),"Overdue",IF(N(I195)&gt;0,"Partial","Open"))))</f>
        <v/>
      </c>
      <c r="M195" s="66" t="str">
        <f aca="true">IF(OR(E195="",G195=""),"",IF(K195&lt;=0,IF(H195="","",MAX(0,H195-G195)),MAX(0,TODAY()-G195)))</f>
        <v/>
      </c>
      <c r="N195" s="78" t="str">
        <f aca="true">IF(OR(E195="",G195=""),"",IF(K195&lt;=0,"",IF(TODAY()&lt;=G195,"Not due yet",IF(TODAY()-G195&lt;=30,"1-30 days late",IF(TODAY()-G195&lt;=60,"31-60 days late",IF(TODAY()-G195&lt;=90,"61-90 days late","90+ days late"))))))</f>
        <v/>
      </c>
      <c r="O195" s="66" t="str">
        <f aca="false">IF(OR(H195="",B195="",K195&gt;0),"",H195-B195)</f>
        <v/>
      </c>
    </row>
    <row r="196" customFormat="false" ht="15" hidden="false" customHeight="false" outlineLevel="0" collapsed="false">
      <c r="A196" s="51"/>
      <c r="B196" s="65"/>
      <c r="C196" s="51"/>
      <c r="D196" s="51"/>
      <c r="E196" s="76"/>
      <c r="F196" s="66" t="str">
        <f aca="false">IF(C196="","",IFERROR(1/(1/INDEX(Clients!$H$6:$H$25,MATCH(C196,Clients!$B$6:$B$25,0))),Settings!$C$10))</f>
        <v/>
      </c>
      <c r="G196" s="77" t="str">
        <f aca="false">IF(OR(B196="",F196=""),"",B196+F196)</f>
        <v/>
      </c>
      <c r="H196" s="65"/>
      <c r="I196" s="76"/>
      <c r="J196" s="51"/>
      <c r="K196" s="73" t="str">
        <f aca="false">IF(E196="","",E196-N(I196))</f>
        <v/>
      </c>
      <c r="L196" s="78" t="str">
        <f aca="true">IF(E196="","",IF(K196&lt;=0,"Paid",IF(AND(G196&lt;&gt;"",TODAY()&gt;G196),"Overdue",IF(N(I196)&gt;0,"Partial","Open"))))</f>
        <v/>
      </c>
      <c r="M196" s="66" t="str">
        <f aca="true">IF(OR(E196="",G196=""),"",IF(K196&lt;=0,IF(H196="","",MAX(0,H196-G196)),MAX(0,TODAY()-G196)))</f>
        <v/>
      </c>
      <c r="N196" s="78" t="str">
        <f aca="true">IF(OR(E196="",G196=""),"",IF(K196&lt;=0,"",IF(TODAY()&lt;=G196,"Not due yet",IF(TODAY()-G196&lt;=30,"1-30 days late",IF(TODAY()-G196&lt;=60,"31-60 days late",IF(TODAY()-G196&lt;=90,"61-90 days late","90+ days late"))))))</f>
        <v/>
      </c>
      <c r="O196" s="66" t="str">
        <f aca="false">IF(OR(H196="",B196="",K196&gt;0),"",H196-B196)</f>
        <v/>
      </c>
    </row>
    <row r="197" customFormat="false" ht="15" hidden="false" customHeight="false" outlineLevel="0" collapsed="false">
      <c r="A197" s="51"/>
      <c r="B197" s="65"/>
      <c r="C197" s="51"/>
      <c r="D197" s="51"/>
      <c r="E197" s="76"/>
      <c r="F197" s="66" t="str">
        <f aca="false">IF(C197="","",IFERROR(1/(1/INDEX(Clients!$H$6:$H$25,MATCH(C197,Clients!$B$6:$B$25,0))),Settings!$C$10))</f>
        <v/>
      </c>
      <c r="G197" s="77" t="str">
        <f aca="false">IF(OR(B197="",F197=""),"",B197+F197)</f>
        <v/>
      </c>
      <c r="H197" s="65"/>
      <c r="I197" s="76"/>
      <c r="J197" s="51"/>
      <c r="K197" s="73" t="str">
        <f aca="false">IF(E197="","",E197-N(I197))</f>
        <v/>
      </c>
      <c r="L197" s="78" t="str">
        <f aca="true">IF(E197="","",IF(K197&lt;=0,"Paid",IF(AND(G197&lt;&gt;"",TODAY()&gt;G197),"Overdue",IF(N(I197)&gt;0,"Partial","Open"))))</f>
        <v/>
      </c>
      <c r="M197" s="66" t="str">
        <f aca="true">IF(OR(E197="",G197=""),"",IF(K197&lt;=0,IF(H197="","",MAX(0,H197-G197)),MAX(0,TODAY()-G197)))</f>
        <v/>
      </c>
      <c r="N197" s="78" t="str">
        <f aca="true">IF(OR(E197="",G197=""),"",IF(K197&lt;=0,"",IF(TODAY()&lt;=G197,"Not due yet",IF(TODAY()-G197&lt;=30,"1-30 days late",IF(TODAY()-G197&lt;=60,"31-60 days late",IF(TODAY()-G197&lt;=90,"61-90 days late","90+ days late"))))))</f>
        <v/>
      </c>
      <c r="O197" s="66" t="str">
        <f aca="false">IF(OR(H197="",B197="",K197&gt;0),"",H197-B197)</f>
        <v/>
      </c>
    </row>
    <row r="198" customFormat="false" ht="15" hidden="false" customHeight="false" outlineLevel="0" collapsed="false">
      <c r="A198" s="51"/>
      <c r="B198" s="65"/>
      <c r="C198" s="51"/>
      <c r="D198" s="51"/>
      <c r="E198" s="76"/>
      <c r="F198" s="66" t="str">
        <f aca="false">IF(C198="","",IFERROR(1/(1/INDEX(Clients!$H$6:$H$25,MATCH(C198,Clients!$B$6:$B$25,0))),Settings!$C$10))</f>
        <v/>
      </c>
      <c r="G198" s="77" t="str">
        <f aca="false">IF(OR(B198="",F198=""),"",B198+F198)</f>
        <v/>
      </c>
      <c r="H198" s="65"/>
      <c r="I198" s="76"/>
      <c r="J198" s="51"/>
      <c r="K198" s="73" t="str">
        <f aca="false">IF(E198="","",E198-N(I198))</f>
        <v/>
      </c>
      <c r="L198" s="78" t="str">
        <f aca="true">IF(E198="","",IF(K198&lt;=0,"Paid",IF(AND(G198&lt;&gt;"",TODAY()&gt;G198),"Overdue",IF(N(I198)&gt;0,"Partial","Open"))))</f>
        <v/>
      </c>
      <c r="M198" s="66" t="str">
        <f aca="true">IF(OR(E198="",G198=""),"",IF(K198&lt;=0,IF(H198="","",MAX(0,H198-G198)),MAX(0,TODAY()-G198)))</f>
        <v/>
      </c>
      <c r="N198" s="78" t="str">
        <f aca="true">IF(OR(E198="",G198=""),"",IF(K198&lt;=0,"",IF(TODAY()&lt;=G198,"Not due yet",IF(TODAY()-G198&lt;=30,"1-30 days late",IF(TODAY()-G198&lt;=60,"31-60 days late",IF(TODAY()-G198&lt;=90,"61-90 days late","90+ days late"))))))</f>
        <v/>
      </c>
      <c r="O198" s="66" t="str">
        <f aca="false">IF(OR(H198="",B198="",K198&gt;0),"",H198-B198)</f>
        <v/>
      </c>
    </row>
    <row r="199" customFormat="false" ht="15" hidden="false" customHeight="false" outlineLevel="0" collapsed="false">
      <c r="A199" s="51"/>
      <c r="B199" s="65"/>
      <c r="C199" s="51"/>
      <c r="D199" s="51"/>
      <c r="E199" s="76"/>
      <c r="F199" s="66" t="str">
        <f aca="false">IF(C199="","",IFERROR(1/(1/INDEX(Clients!$H$6:$H$25,MATCH(C199,Clients!$B$6:$B$25,0))),Settings!$C$10))</f>
        <v/>
      </c>
      <c r="G199" s="77" t="str">
        <f aca="false">IF(OR(B199="",F199=""),"",B199+F199)</f>
        <v/>
      </c>
      <c r="H199" s="65"/>
      <c r="I199" s="76"/>
      <c r="J199" s="51"/>
      <c r="K199" s="73" t="str">
        <f aca="false">IF(E199="","",E199-N(I199))</f>
        <v/>
      </c>
      <c r="L199" s="78" t="str">
        <f aca="true">IF(E199="","",IF(K199&lt;=0,"Paid",IF(AND(G199&lt;&gt;"",TODAY()&gt;G199),"Overdue",IF(N(I199)&gt;0,"Partial","Open"))))</f>
        <v/>
      </c>
      <c r="M199" s="66" t="str">
        <f aca="true">IF(OR(E199="",G199=""),"",IF(K199&lt;=0,IF(H199="","",MAX(0,H199-G199)),MAX(0,TODAY()-G199)))</f>
        <v/>
      </c>
      <c r="N199" s="78" t="str">
        <f aca="true">IF(OR(E199="",G199=""),"",IF(K199&lt;=0,"",IF(TODAY()&lt;=G199,"Not due yet",IF(TODAY()-G199&lt;=30,"1-30 days late",IF(TODAY()-G199&lt;=60,"31-60 days late",IF(TODAY()-G199&lt;=90,"61-90 days late","90+ days late"))))))</f>
        <v/>
      </c>
      <c r="O199" s="66" t="str">
        <f aca="false">IF(OR(H199="",B199="",K199&gt;0),"",H199-B199)</f>
        <v/>
      </c>
    </row>
    <row r="200" customFormat="false" ht="15" hidden="false" customHeight="false" outlineLevel="0" collapsed="false">
      <c r="A200" s="51"/>
      <c r="B200" s="65"/>
      <c r="C200" s="51"/>
      <c r="D200" s="51"/>
      <c r="E200" s="76"/>
      <c r="F200" s="66" t="str">
        <f aca="false">IF(C200="","",IFERROR(1/(1/INDEX(Clients!$H$6:$H$25,MATCH(C200,Clients!$B$6:$B$25,0))),Settings!$C$10))</f>
        <v/>
      </c>
      <c r="G200" s="77" t="str">
        <f aca="false">IF(OR(B200="",F200=""),"",B200+F200)</f>
        <v/>
      </c>
      <c r="H200" s="65"/>
      <c r="I200" s="76"/>
      <c r="J200" s="51"/>
      <c r="K200" s="73" t="str">
        <f aca="false">IF(E200="","",E200-N(I200))</f>
        <v/>
      </c>
      <c r="L200" s="78" t="str">
        <f aca="true">IF(E200="","",IF(K200&lt;=0,"Paid",IF(AND(G200&lt;&gt;"",TODAY()&gt;G200),"Overdue",IF(N(I200)&gt;0,"Partial","Open"))))</f>
        <v/>
      </c>
      <c r="M200" s="66" t="str">
        <f aca="true">IF(OR(E200="",G200=""),"",IF(K200&lt;=0,IF(H200="","",MAX(0,H200-G200)),MAX(0,TODAY()-G200)))</f>
        <v/>
      </c>
      <c r="N200" s="78" t="str">
        <f aca="true">IF(OR(E200="",G200=""),"",IF(K200&lt;=0,"",IF(TODAY()&lt;=G200,"Not due yet",IF(TODAY()-G200&lt;=30,"1-30 days late",IF(TODAY()-G200&lt;=60,"31-60 days late",IF(TODAY()-G200&lt;=90,"61-90 days late","90+ days late"))))))</f>
        <v/>
      </c>
      <c r="O200" s="66" t="str">
        <f aca="false">IF(OR(H200="",B200="",K200&gt;0),"",H200-B200)</f>
        <v/>
      </c>
    </row>
    <row r="201" customFormat="false" ht="15" hidden="false" customHeight="false" outlineLevel="0" collapsed="false">
      <c r="A201" s="51"/>
      <c r="B201" s="65"/>
      <c r="C201" s="51"/>
      <c r="D201" s="51"/>
      <c r="E201" s="76"/>
      <c r="F201" s="66" t="str">
        <f aca="false">IF(C201="","",IFERROR(1/(1/INDEX(Clients!$H$6:$H$25,MATCH(C201,Clients!$B$6:$B$25,0))),Settings!$C$10))</f>
        <v/>
      </c>
      <c r="G201" s="77" t="str">
        <f aca="false">IF(OR(B201="",F201=""),"",B201+F201)</f>
        <v/>
      </c>
      <c r="H201" s="65"/>
      <c r="I201" s="76"/>
      <c r="J201" s="51"/>
      <c r="K201" s="73" t="str">
        <f aca="false">IF(E201="","",E201-N(I201))</f>
        <v/>
      </c>
      <c r="L201" s="78" t="str">
        <f aca="true">IF(E201="","",IF(K201&lt;=0,"Paid",IF(AND(G201&lt;&gt;"",TODAY()&gt;G201),"Overdue",IF(N(I201)&gt;0,"Partial","Open"))))</f>
        <v/>
      </c>
      <c r="M201" s="66" t="str">
        <f aca="true">IF(OR(E201="",G201=""),"",IF(K201&lt;=0,IF(H201="","",MAX(0,H201-G201)),MAX(0,TODAY()-G201)))</f>
        <v/>
      </c>
      <c r="N201" s="78" t="str">
        <f aca="true">IF(OR(E201="",G201=""),"",IF(K201&lt;=0,"",IF(TODAY()&lt;=G201,"Not due yet",IF(TODAY()-G201&lt;=30,"1-30 days late",IF(TODAY()-G201&lt;=60,"31-60 days late",IF(TODAY()-G201&lt;=90,"61-90 days late","90+ days late"))))))</f>
        <v/>
      </c>
      <c r="O201" s="66" t="str">
        <f aca="false">IF(OR(H201="",B201="",K201&gt;0),"",H201-B201)</f>
        <v/>
      </c>
    </row>
    <row r="202" customFormat="false" ht="15" hidden="false" customHeight="false" outlineLevel="0" collapsed="false">
      <c r="A202" s="51"/>
      <c r="B202" s="65"/>
      <c r="C202" s="51"/>
      <c r="D202" s="51"/>
      <c r="E202" s="76"/>
      <c r="F202" s="66" t="str">
        <f aca="false">IF(C202="","",IFERROR(1/(1/INDEX(Clients!$H$6:$H$25,MATCH(C202,Clients!$B$6:$B$25,0))),Settings!$C$10))</f>
        <v/>
      </c>
      <c r="G202" s="77" t="str">
        <f aca="false">IF(OR(B202="",F202=""),"",B202+F202)</f>
        <v/>
      </c>
      <c r="H202" s="65"/>
      <c r="I202" s="76"/>
      <c r="J202" s="51"/>
      <c r="K202" s="73" t="str">
        <f aca="false">IF(E202="","",E202-N(I202))</f>
        <v/>
      </c>
      <c r="L202" s="78" t="str">
        <f aca="true">IF(E202="","",IF(K202&lt;=0,"Paid",IF(AND(G202&lt;&gt;"",TODAY()&gt;G202),"Overdue",IF(N(I202)&gt;0,"Partial","Open"))))</f>
        <v/>
      </c>
      <c r="M202" s="66" t="str">
        <f aca="true">IF(OR(E202="",G202=""),"",IF(K202&lt;=0,IF(H202="","",MAX(0,H202-G202)),MAX(0,TODAY()-G202)))</f>
        <v/>
      </c>
      <c r="N202" s="78" t="str">
        <f aca="true">IF(OR(E202="",G202=""),"",IF(K202&lt;=0,"",IF(TODAY()&lt;=G202,"Not due yet",IF(TODAY()-G202&lt;=30,"1-30 days late",IF(TODAY()-G202&lt;=60,"31-60 days late",IF(TODAY()-G202&lt;=90,"61-90 days late","90+ days late"))))))</f>
        <v/>
      </c>
      <c r="O202" s="66" t="str">
        <f aca="false">IF(OR(H202="",B202="",K202&gt;0),"",H202-B202)</f>
        <v/>
      </c>
    </row>
    <row r="203" customFormat="false" ht="15" hidden="false" customHeight="false" outlineLevel="0" collapsed="false">
      <c r="A203" s="51"/>
      <c r="B203" s="65"/>
      <c r="C203" s="51"/>
      <c r="D203" s="51"/>
      <c r="E203" s="76"/>
      <c r="F203" s="66" t="str">
        <f aca="false">IF(C203="","",IFERROR(1/(1/INDEX(Clients!$H$6:$H$25,MATCH(C203,Clients!$B$6:$B$25,0))),Settings!$C$10))</f>
        <v/>
      </c>
      <c r="G203" s="77" t="str">
        <f aca="false">IF(OR(B203="",F203=""),"",B203+F203)</f>
        <v/>
      </c>
      <c r="H203" s="65"/>
      <c r="I203" s="76"/>
      <c r="J203" s="51"/>
      <c r="K203" s="73" t="str">
        <f aca="false">IF(E203="","",E203-N(I203))</f>
        <v/>
      </c>
      <c r="L203" s="78" t="str">
        <f aca="true">IF(E203="","",IF(K203&lt;=0,"Paid",IF(AND(G203&lt;&gt;"",TODAY()&gt;G203),"Overdue",IF(N(I203)&gt;0,"Partial","Open"))))</f>
        <v/>
      </c>
      <c r="M203" s="66" t="str">
        <f aca="true">IF(OR(E203="",G203=""),"",IF(K203&lt;=0,IF(H203="","",MAX(0,H203-G203)),MAX(0,TODAY()-G203)))</f>
        <v/>
      </c>
      <c r="N203" s="78" t="str">
        <f aca="true">IF(OR(E203="",G203=""),"",IF(K203&lt;=0,"",IF(TODAY()&lt;=G203,"Not due yet",IF(TODAY()-G203&lt;=30,"1-30 days late",IF(TODAY()-G203&lt;=60,"31-60 days late",IF(TODAY()-G203&lt;=90,"61-90 days late","90+ days late"))))))</f>
        <v/>
      </c>
      <c r="O203" s="66" t="str">
        <f aca="false">IF(OR(H203="",B203="",K203&gt;0),"",H203-B203)</f>
        <v/>
      </c>
    </row>
    <row r="204" customFormat="false" ht="15" hidden="false" customHeight="false" outlineLevel="0" collapsed="false">
      <c r="A204" s="51"/>
      <c r="B204" s="65"/>
      <c r="C204" s="51"/>
      <c r="D204" s="51"/>
      <c r="E204" s="76"/>
      <c r="F204" s="66" t="str">
        <f aca="false">IF(C204="","",IFERROR(1/(1/INDEX(Clients!$H$6:$H$25,MATCH(C204,Clients!$B$6:$B$25,0))),Settings!$C$10))</f>
        <v/>
      </c>
      <c r="G204" s="77" t="str">
        <f aca="false">IF(OR(B204="",F204=""),"",B204+F204)</f>
        <v/>
      </c>
      <c r="H204" s="65"/>
      <c r="I204" s="76"/>
      <c r="J204" s="51"/>
      <c r="K204" s="73" t="str">
        <f aca="false">IF(E204="","",E204-N(I204))</f>
        <v/>
      </c>
      <c r="L204" s="78" t="str">
        <f aca="true">IF(E204="","",IF(K204&lt;=0,"Paid",IF(AND(G204&lt;&gt;"",TODAY()&gt;G204),"Overdue",IF(N(I204)&gt;0,"Partial","Open"))))</f>
        <v/>
      </c>
      <c r="M204" s="66" t="str">
        <f aca="true">IF(OR(E204="",G204=""),"",IF(K204&lt;=0,IF(H204="","",MAX(0,H204-G204)),MAX(0,TODAY()-G204)))</f>
        <v/>
      </c>
      <c r="N204" s="78" t="str">
        <f aca="true">IF(OR(E204="",G204=""),"",IF(K204&lt;=0,"",IF(TODAY()&lt;=G204,"Not due yet",IF(TODAY()-G204&lt;=30,"1-30 days late",IF(TODAY()-G204&lt;=60,"31-60 days late",IF(TODAY()-G204&lt;=90,"61-90 days late","90+ days late"))))))</f>
        <v/>
      </c>
      <c r="O204" s="66" t="str">
        <f aca="false">IF(OR(H204="",B204="",K204&gt;0),"",H204-B204)</f>
        <v/>
      </c>
    </row>
    <row r="205" customFormat="false" ht="15" hidden="false" customHeight="false" outlineLevel="0" collapsed="false">
      <c r="A205" s="51"/>
      <c r="B205" s="65"/>
      <c r="C205" s="51"/>
      <c r="D205" s="51"/>
      <c r="E205" s="76"/>
      <c r="F205" s="66" t="str">
        <f aca="false">IF(C205="","",IFERROR(1/(1/INDEX(Clients!$H$6:$H$25,MATCH(C205,Clients!$B$6:$B$25,0))),Settings!$C$10))</f>
        <v/>
      </c>
      <c r="G205" s="77" t="str">
        <f aca="false">IF(OR(B205="",F205=""),"",B205+F205)</f>
        <v/>
      </c>
      <c r="H205" s="65"/>
      <c r="I205" s="76"/>
      <c r="J205" s="51"/>
      <c r="K205" s="73" t="str">
        <f aca="false">IF(E205="","",E205-N(I205))</f>
        <v/>
      </c>
      <c r="L205" s="78" t="str">
        <f aca="true">IF(E205="","",IF(K205&lt;=0,"Paid",IF(AND(G205&lt;&gt;"",TODAY()&gt;G205),"Overdue",IF(N(I205)&gt;0,"Partial","Open"))))</f>
        <v/>
      </c>
      <c r="M205" s="66" t="str">
        <f aca="true">IF(OR(E205="",G205=""),"",IF(K205&lt;=0,IF(H205="","",MAX(0,H205-G205)),MAX(0,TODAY()-G205)))</f>
        <v/>
      </c>
      <c r="N205" s="78" t="str">
        <f aca="true">IF(OR(E205="",G205=""),"",IF(K205&lt;=0,"",IF(TODAY()&lt;=G205,"Not due yet",IF(TODAY()-G205&lt;=30,"1-30 days late",IF(TODAY()-G205&lt;=60,"31-60 days late",IF(TODAY()-G205&lt;=90,"61-90 days late","90+ days late"))))))</f>
        <v/>
      </c>
      <c r="O205" s="66" t="str">
        <f aca="false">IF(OR(H205="",B205="",K205&gt;0),"",H205-B205)</f>
        <v/>
      </c>
    </row>
    <row r="206" customFormat="false" ht="15" hidden="false" customHeight="false" outlineLevel="0" collapsed="false">
      <c r="A206" s="51"/>
      <c r="B206" s="65"/>
      <c r="C206" s="51"/>
      <c r="D206" s="51"/>
      <c r="E206" s="76"/>
      <c r="F206" s="66" t="str">
        <f aca="false">IF(C206="","",IFERROR(1/(1/INDEX(Clients!$H$6:$H$25,MATCH(C206,Clients!$B$6:$B$25,0))),Settings!$C$10))</f>
        <v/>
      </c>
      <c r="G206" s="77" t="str">
        <f aca="false">IF(OR(B206="",F206=""),"",B206+F206)</f>
        <v/>
      </c>
      <c r="H206" s="65"/>
      <c r="I206" s="76"/>
      <c r="J206" s="51"/>
      <c r="K206" s="73" t="str">
        <f aca="false">IF(E206="","",E206-N(I206))</f>
        <v/>
      </c>
      <c r="L206" s="78" t="str">
        <f aca="true">IF(E206="","",IF(K206&lt;=0,"Paid",IF(AND(G206&lt;&gt;"",TODAY()&gt;G206),"Overdue",IF(N(I206)&gt;0,"Partial","Open"))))</f>
        <v/>
      </c>
      <c r="M206" s="66" t="str">
        <f aca="true">IF(OR(E206="",G206=""),"",IF(K206&lt;=0,IF(H206="","",MAX(0,H206-G206)),MAX(0,TODAY()-G206)))</f>
        <v/>
      </c>
      <c r="N206" s="78" t="str">
        <f aca="true">IF(OR(E206="",G206=""),"",IF(K206&lt;=0,"",IF(TODAY()&lt;=G206,"Not due yet",IF(TODAY()-G206&lt;=30,"1-30 days late",IF(TODAY()-G206&lt;=60,"31-60 days late",IF(TODAY()-G206&lt;=90,"61-90 days late","90+ days late"))))))</f>
        <v/>
      </c>
      <c r="O206" s="66" t="str">
        <f aca="false">IF(OR(H206="",B206="",K206&gt;0),"",H206-B206)</f>
        <v/>
      </c>
    </row>
    <row r="207" customFormat="false" ht="15" hidden="false" customHeight="false" outlineLevel="0" collapsed="false">
      <c r="A207" s="51"/>
      <c r="B207" s="65"/>
      <c r="C207" s="51"/>
      <c r="D207" s="51"/>
      <c r="E207" s="76"/>
      <c r="F207" s="66" t="str">
        <f aca="false">IF(C207="","",IFERROR(1/(1/INDEX(Clients!$H$6:$H$25,MATCH(C207,Clients!$B$6:$B$25,0))),Settings!$C$10))</f>
        <v/>
      </c>
      <c r="G207" s="77" t="str">
        <f aca="false">IF(OR(B207="",F207=""),"",B207+F207)</f>
        <v/>
      </c>
      <c r="H207" s="65"/>
      <c r="I207" s="76"/>
      <c r="J207" s="51"/>
      <c r="K207" s="73" t="str">
        <f aca="false">IF(E207="","",E207-N(I207))</f>
        <v/>
      </c>
      <c r="L207" s="78" t="str">
        <f aca="true">IF(E207="","",IF(K207&lt;=0,"Paid",IF(AND(G207&lt;&gt;"",TODAY()&gt;G207),"Overdue",IF(N(I207)&gt;0,"Partial","Open"))))</f>
        <v/>
      </c>
      <c r="M207" s="66" t="str">
        <f aca="true">IF(OR(E207="",G207=""),"",IF(K207&lt;=0,IF(H207="","",MAX(0,H207-G207)),MAX(0,TODAY()-G207)))</f>
        <v/>
      </c>
      <c r="N207" s="78" t="str">
        <f aca="true">IF(OR(E207="",G207=""),"",IF(K207&lt;=0,"",IF(TODAY()&lt;=G207,"Not due yet",IF(TODAY()-G207&lt;=30,"1-30 days late",IF(TODAY()-G207&lt;=60,"31-60 days late",IF(TODAY()-G207&lt;=90,"61-90 days late","90+ days late"))))))</f>
        <v/>
      </c>
      <c r="O207" s="66" t="str">
        <f aca="false">IF(OR(H207="",B207="",K207&gt;0),"",H207-B207)</f>
        <v/>
      </c>
    </row>
    <row r="208" customFormat="false" ht="15" hidden="false" customHeight="false" outlineLevel="0" collapsed="false">
      <c r="A208" s="51"/>
      <c r="B208" s="65"/>
      <c r="C208" s="51"/>
      <c r="D208" s="51"/>
      <c r="E208" s="76"/>
      <c r="F208" s="66" t="str">
        <f aca="false">IF(C208="","",IFERROR(1/(1/INDEX(Clients!$H$6:$H$25,MATCH(C208,Clients!$B$6:$B$25,0))),Settings!$C$10))</f>
        <v/>
      </c>
      <c r="G208" s="77" t="str">
        <f aca="false">IF(OR(B208="",F208=""),"",B208+F208)</f>
        <v/>
      </c>
      <c r="H208" s="65"/>
      <c r="I208" s="76"/>
      <c r="J208" s="51"/>
      <c r="K208" s="73" t="str">
        <f aca="false">IF(E208="","",E208-N(I208))</f>
        <v/>
      </c>
      <c r="L208" s="78" t="str">
        <f aca="true">IF(E208="","",IF(K208&lt;=0,"Paid",IF(AND(G208&lt;&gt;"",TODAY()&gt;G208),"Overdue",IF(N(I208)&gt;0,"Partial","Open"))))</f>
        <v/>
      </c>
      <c r="M208" s="66" t="str">
        <f aca="true">IF(OR(E208="",G208=""),"",IF(K208&lt;=0,IF(H208="","",MAX(0,H208-G208)),MAX(0,TODAY()-G208)))</f>
        <v/>
      </c>
      <c r="N208" s="78" t="str">
        <f aca="true">IF(OR(E208="",G208=""),"",IF(K208&lt;=0,"",IF(TODAY()&lt;=G208,"Not due yet",IF(TODAY()-G208&lt;=30,"1-30 days late",IF(TODAY()-G208&lt;=60,"31-60 days late",IF(TODAY()-G208&lt;=90,"61-90 days late","90+ days late"))))))</f>
        <v/>
      </c>
      <c r="O208" s="66" t="str">
        <f aca="false">IF(OR(H208="",B208="",K208&gt;0),"",H208-B208)</f>
        <v/>
      </c>
    </row>
    <row r="209" customFormat="false" ht="15" hidden="false" customHeight="false" outlineLevel="0" collapsed="false">
      <c r="A209" s="51"/>
      <c r="B209" s="65"/>
      <c r="C209" s="51"/>
      <c r="D209" s="51"/>
      <c r="E209" s="76"/>
      <c r="F209" s="66" t="str">
        <f aca="false">IF(C209="","",IFERROR(1/(1/INDEX(Clients!$H$6:$H$25,MATCH(C209,Clients!$B$6:$B$25,0))),Settings!$C$10))</f>
        <v/>
      </c>
      <c r="G209" s="77" t="str">
        <f aca="false">IF(OR(B209="",F209=""),"",B209+F209)</f>
        <v/>
      </c>
      <c r="H209" s="65"/>
      <c r="I209" s="76"/>
      <c r="J209" s="51"/>
      <c r="K209" s="73" t="str">
        <f aca="false">IF(E209="","",E209-N(I209))</f>
        <v/>
      </c>
      <c r="L209" s="78" t="str">
        <f aca="true">IF(E209="","",IF(K209&lt;=0,"Paid",IF(AND(G209&lt;&gt;"",TODAY()&gt;G209),"Overdue",IF(N(I209)&gt;0,"Partial","Open"))))</f>
        <v/>
      </c>
      <c r="M209" s="66" t="str">
        <f aca="true">IF(OR(E209="",G209=""),"",IF(K209&lt;=0,IF(H209="","",MAX(0,H209-G209)),MAX(0,TODAY()-G209)))</f>
        <v/>
      </c>
      <c r="N209" s="78" t="str">
        <f aca="true">IF(OR(E209="",G209=""),"",IF(K209&lt;=0,"",IF(TODAY()&lt;=G209,"Not due yet",IF(TODAY()-G209&lt;=30,"1-30 days late",IF(TODAY()-G209&lt;=60,"31-60 days late",IF(TODAY()-G209&lt;=90,"61-90 days late","90+ days late"))))))</f>
        <v/>
      </c>
      <c r="O209" s="66" t="str">
        <f aca="false">IF(OR(H209="",B209="",K209&gt;0),"",H209-B209)</f>
        <v/>
      </c>
    </row>
    <row r="210" customFormat="false" ht="15" hidden="false" customHeight="false" outlineLevel="0" collapsed="false">
      <c r="A210" s="51"/>
      <c r="B210" s="65"/>
      <c r="C210" s="51"/>
      <c r="D210" s="51"/>
      <c r="E210" s="76"/>
      <c r="F210" s="66" t="str">
        <f aca="false">IF(C210="","",IFERROR(1/(1/INDEX(Clients!$H$6:$H$25,MATCH(C210,Clients!$B$6:$B$25,0))),Settings!$C$10))</f>
        <v/>
      </c>
      <c r="G210" s="77" t="str">
        <f aca="false">IF(OR(B210="",F210=""),"",B210+F210)</f>
        <v/>
      </c>
      <c r="H210" s="65"/>
      <c r="I210" s="76"/>
      <c r="J210" s="51"/>
      <c r="K210" s="73" t="str">
        <f aca="false">IF(E210="","",E210-N(I210))</f>
        <v/>
      </c>
      <c r="L210" s="78" t="str">
        <f aca="true">IF(E210="","",IF(K210&lt;=0,"Paid",IF(AND(G210&lt;&gt;"",TODAY()&gt;G210),"Overdue",IF(N(I210)&gt;0,"Partial","Open"))))</f>
        <v/>
      </c>
      <c r="M210" s="66" t="str">
        <f aca="true">IF(OR(E210="",G210=""),"",IF(K210&lt;=0,IF(H210="","",MAX(0,H210-G210)),MAX(0,TODAY()-G210)))</f>
        <v/>
      </c>
      <c r="N210" s="78" t="str">
        <f aca="true">IF(OR(E210="",G210=""),"",IF(K210&lt;=0,"",IF(TODAY()&lt;=G210,"Not due yet",IF(TODAY()-G210&lt;=30,"1-30 days late",IF(TODAY()-G210&lt;=60,"31-60 days late",IF(TODAY()-G210&lt;=90,"61-90 days late","90+ days late"))))))</f>
        <v/>
      </c>
      <c r="O210" s="66" t="str">
        <f aca="false">IF(OR(H210="",B210="",K210&gt;0),"",H210-B210)</f>
        <v/>
      </c>
    </row>
    <row r="211" customFormat="false" ht="15" hidden="false" customHeight="false" outlineLevel="0" collapsed="false">
      <c r="A211" s="51"/>
      <c r="B211" s="65"/>
      <c r="C211" s="51"/>
      <c r="D211" s="51"/>
      <c r="E211" s="76"/>
      <c r="F211" s="66" t="str">
        <f aca="false">IF(C211="","",IFERROR(1/(1/INDEX(Clients!$H$6:$H$25,MATCH(C211,Clients!$B$6:$B$25,0))),Settings!$C$10))</f>
        <v/>
      </c>
      <c r="G211" s="77" t="str">
        <f aca="false">IF(OR(B211="",F211=""),"",B211+F211)</f>
        <v/>
      </c>
      <c r="H211" s="65"/>
      <c r="I211" s="76"/>
      <c r="J211" s="51"/>
      <c r="K211" s="73" t="str">
        <f aca="false">IF(E211="","",E211-N(I211))</f>
        <v/>
      </c>
      <c r="L211" s="78" t="str">
        <f aca="true">IF(E211="","",IF(K211&lt;=0,"Paid",IF(AND(G211&lt;&gt;"",TODAY()&gt;G211),"Overdue",IF(N(I211)&gt;0,"Partial","Open"))))</f>
        <v/>
      </c>
      <c r="M211" s="66" t="str">
        <f aca="true">IF(OR(E211="",G211=""),"",IF(K211&lt;=0,IF(H211="","",MAX(0,H211-G211)),MAX(0,TODAY()-G211)))</f>
        <v/>
      </c>
      <c r="N211" s="78" t="str">
        <f aca="true">IF(OR(E211="",G211=""),"",IF(K211&lt;=0,"",IF(TODAY()&lt;=G211,"Not due yet",IF(TODAY()-G211&lt;=30,"1-30 days late",IF(TODAY()-G211&lt;=60,"31-60 days late",IF(TODAY()-G211&lt;=90,"61-90 days late","90+ days late"))))))</f>
        <v/>
      </c>
      <c r="O211" s="66" t="str">
        <f aca="false">IF(OR(H211="",B211="",K211&gt;0),"",H211-B211)</f>
        <v/>
      </c>
    </row>
    <row r="212" customFormat="false" ht="15" hidden="false" customHeight="false" outlineLevel="0" collapsed="false">
      <c r="A212" s="51"/>
      <c r="B212" s="65"/>
      <c r="C212" s="51"/>
      <c r="D212" s="51"/>
      <c r="E212" s="76"/>
      <c r="F212" s="66" t="str">
        <f aca="false">IF(C212="","",IFERROR(1/(1/INDEX(Clients!$H$6:$H$25,MATCH(C212,Clients!$B$6:$B$25,0))),Settings!$C$10))</f>
        <v/>
      </c>
      <c r="G212" s="77" t="str">
        <f aca="false">IF(OR(B212="",F212=""),"",B212+F212)</f>
        <v/>
      </c>
      <c r="H212" s="65"/>
      <c r="I212" s="76"/>
      <c r="J212" s="51"/>
      <c r="K212" s="73" t="str">
        <f aca="false">IF(E212="","",E212-N(I212))</f>
        <v/>
      </c>
      <c r="L212" s="78" t="str">
        <f aca="true">IF(E212="","",IF(K212&lt;=0,"Paid",IF(AND(G212&lt;&gt;"",TODAY()&gt;G212),"Overdue",IF(N(I212)&gt;0,"Partial","Open"))))</f>
        <v/>
      </c>
      <c r="M212" s="66" t="str">
        <f aca="true">IF(OR(E212="",G212=""),"",IF(K212&lt;=0,IF(H212="","",MAX(0,H212-G212)),MAX(0,TODAY()-G212)))</f>
        <v/>
      </c>
      <c r="N212" s="78" t="str">
        <f aca="true">IF(OR(E212="",G212=""),"",IF(K212&lt;=0,"",IF(TODAY()&lt;=G212,"Not due yet",IF(TODAY()-G212&lt;=30,"1-30 days late",IF(TODAY()-G212&lt;=60,"31-60 days late",IF(TODAY()-G212&lt;=90,"61-90 days late","90+ days late"))))))</f>
        <v/>
      </c>
      <c r="O212" s="66" t="str">
        <f aca="false">IF(OR(H212="",B212="",K212&gt;0),"",H212-B212)</f>
        <v/>
      </c>
    </row>
    <row r="213" customFormat="false" ht="15" hidden="false" customHeight="false" outlineLevel="0" collapsed="false">
      <c r="A213" s="51"/>
      <c r="B213" s="65"/>
      <c r="C213" s="51"/>
      <c r="D213" s="51"/>
      <c r="E213" s="76"/>
      <c r="F213" s="66" t="str">
        <f aca="false">IF(C213="","",IFERROR(1/(1/INDEX(Clients!$H$6:$H$25,MATCH(C213,Clients!$B$6:$B$25,0))),Settings!$C$10))</f>
        <v/>
      </c>
      <c r="G213" s="77" t="str">
        <f aca="false">IF(OR(B213="",F213=""),"",B213+F213)</f>
        <v/>
      </c>
      <c r="H213" s="65"/>
      <c r="I213" s="76"/>
      <c r="J213" s="51"/>
      <c r="K213" s="73" t="str">
        <f aca="false">IF(E213="","",E213-N(I213))</f>
        <v/>
      </c>
      <c r="L213" s="78" t="str">
        <f aca="true">IF(E213="","",IF(K213&lt;=0,"Paid",IF(AND(G213&lt;&gt;"",TODAY()&gt;G213),"Overdue",IF(N(I213)&gt;0,"Partial","Open"))))</f>
        <v/>
      </c>
      <c r="M213" s="66" t="str">
        <f aca="true">IF(OR(E213="",G213=""),"",IF(K213&lt;=0,IF(H213="","",MAX(0,H213-G213)),MAX(0,TODAY()-G213)))</f>
        <v/>
      </c>
      <c r="N213" s="78" t="str">
        <f aca="true">IF(OR(E213="",G213=""),"",IF(K213&lt;=0,"",IF(TODAY()&lt;=G213,"Not due yet",IF(TODAY()-G213&lt;=30,"1-30 days late",IF(TODAY()-G213&lt;=60,"31-60 days late",IF(TODAY()-G213&lt;=90,"61-90 days late","90+ days late"))))))</f>
        <v/>
      </c>
      <c r="O213" s="66" t="str">
        <f aca="false">IF(OR(H213="",B213="",K213&gt;0),"",H213-B213)</f>
        <v/>
      </c>
    </row>
    <row r="214" customFormat="false" ht="15" hidden="false" customHeight="false" outlineLevel="0" collapsed="false">
      <c r="A214" s="51"/>
      <c r="B214" s="65"/>
      <c r="C214" s="51"/>
      <c r="D214" s="51"/>
      <c r="E214" s="76"/>
      <c r="F214" s="66" t="str">
        <f aca="false">IF(C214="","",IFERROR(1/(1/INDEX(Clients!$H$6:$H$25,MATCH(C214,Clients!$B$6:$B$25,0))),Settings!$C$10))</f>
        <v/>
      </c>
      <c r="G214" s="77" t="str">
        <f aca="false">IF(OR(B214="",F214=""),"",B214+F214)</f>
        <v/>
      </c>
      <c r="H214" s="65"/>
      <c r="I214" s="76"/>
      <c r="J214" s="51"/>
      <c r="K214" s="73" t="str">
        <f aca="false">IF(E214="","",E214-N(I214))</f>
        <v/>
      </c>
      <c r="L214" s="78" t="str">
        <f aca="true">IF(E214="","",IF(K214&lt;=0,"Paid",IF(AND(G214&lt;&gt;"",TODAY()&gt;G214),"Overdue",IF(N(I214)&gt;0,"Partial","Open"))))</f>
        <v/>
      </c>
      <c r="M214" s="66" t="str">
        <f aca="true">IF(OR(E214="",G214=""),"",IF(K214&lt;=0,IF(H214="","",MAX(0,H214-G214)),MAX(0,TODAY()-G214)))</f>
        <v/>
      </c>
      <c r="N214" s="78" t="str">
        <f aca="true">IF(OR(E214="",G214=""),"",IF(K214&lt;=0,"",IF(TODAY()&lt;=G214,"Not due yet",IF(TODAY()-G214&lt;=30,"1-30 days late",IF(TODAY()-G214&lt;=60,"31-60 days late",IF(TODAY()-G214&lt;=90,"61-90 days late","90+ days late"))))))</f>
        <v/>
      </c>
      <c r="O214" s="66" t="str">
        <f aca="false">IF(OR(H214="",B214="",K214&gt;0),"",H214-B214)</f>
        <v/>
      </c>
    </row>
    <row r="215" customFormat="false" ht="15" hidden="false" customHeight="false" outlineLevel="0" collapsed="false">
      <c r="A215" s="51"/>
      <c r="B215" s="65"/>
      <c r="C215" s="51"/>
      <c r="D215" s="51"/>
      <c r="E215" s="76"/>
      <c r="F215" s="66" t="str">
        <f aca="false">IF(C215="","",IFERROR(1/(1/INDEX(Clients!$H$6:$H$25,MATCH(C215,Clients!$B$6:$B$25,0))),Settings!$C$10))</f>
        <v/>
      </c>
      <c r="G215" s="77" t="str">
        <f aca="false">IF(OR(B215="",F215=""),"",B215+F215)</f>
        <v/>
      </c>
      <c r="H215" s="65"/>
      <c r="I215" s="76"/>
      <c r="J215" s="51"/>
      <c r="K215" s="73" t="str">
        <f aca="false">IF(E215="","",E215-N(I215))</f>
        <v/>
      </c>
      <c r="L215" s="78" t="str">
        <f aca="true">IF(E215="","",IF(K215&lt;=0,"Paid",IF(AND(G215&lt;&gt;"",TODAY()&gt;G215),"Overdue",IF(N(I215)&gt;0,"Partial","Open"))))</f>
        <v/>
      </c>
      <c r="M215" s="66" t="str">
        <f aca="true">IF(OR(E215="",G215=""),"",IF(K215&lt;=0,IF(H215="","",MAX(0,H215-G215)),MAX(0,TODAY()-G215)))</f>
        <v/>
      </c>
      <c r="N215" s="78" t="str">
        <f aca="true">IF(OR(E215="",G215=""),"",IF(K215&lt;=0,"",IF(TODAY()&lt;=G215,"Not due yet",IF(TODAY()-G215&lt;=30,"1-30 days late",IF(TODAY()-G215&lt;=60,"31-60 days late",IF(TODAY()-G215&lt;=90,"61-90 days late","90+ days late"))))))</f>
        <v/>
      </c>
      <c r="O215" s="66" t="str">
        <f aca="false">IF(OR(H215="",B215="",K215&gt;0),"",H215-B215)</f>
        <v/>
      </c>
    </row>
    <row r="216" customFormat="false" ht="15" hidden="false" customHeight="false" outlineLevel="0" collapsed="false">
      <c r="A216" s="51"/>
      <c r="B216" s="65"/>
      <c r="C216" s="51"/>
      <c r="D216" s="51"/>
      <c r="E216" s="76"/>
      <c r="F216" s="66" t="str">
        <f aca="false">IF(C216="","",IFERROR(1/(1/INDEX(Clients!$H$6:$H$25,MATCH(C216,Clients!$B$6:$B$25,0))),Settings!$C$10))</f>
        <v/>
      </c>
      <c r="G216" s="77" t="str">
        <f aca="false">IF(OR(B216="",F216=""),"",B216+F216)</f>
        <v/>
      </c>
      <c r="H216" s="65"/>
      <c r="I216" s="76"/>
      <c r="J216" s="51"/>
      <c r="K216" s="73" t="str">
        <f aca="false">IF(E216="","",E216-N(I216))</f>
        <v/>
      </c>
      <c r="L216" s="78" t="str">
        <f aca="true">IF(E216="","",IF(K216&lt;=0,"Paid",IF(AND(G216&lt;&gt;"",TODAY()&gt;G216),"Overdue",IF(N(I216)&gt;0,"Partial","Open"))))</f>
        <v/>
      </c>
      <c r="M216" s="66" t="str">
        <f aca="true">IF(OR(E216="",G216=""),"",IF(K216&lt;=0,IF(H216="","",MAX(0,H216-G216)),MAX(0,TODAY()-G216)))</f>
        <v/>
      </c>
      <c r="N216" s="78" t="str">
        <f aca="true">IF(OR(E216="",G216=""),"",IF(K216&lt;=0,"",IF(TODAY()&lt;=G216,"Not due yet",IF(TODAY()-G216&lt;=30,"1-30 days late",IF(TODAY()-G216&lt;=60,"31-60 days late",IF(TODAY()-G216&lt;=90,"61-90 days late","90+ days late"))))))</f>
        <v/>
      </c>
      <c r="O216" s="66" t="str">
        <f aca="false">IF(OR(H216="",B216="",K216&gt;0),"",H216-B216)</f>
        <v/>
      </c>
    </row>
    <row r="217" customFormat="false" ht="15" hidden="false" customHeight="false" outlineLevel="0" collapsed="false">
      <c r="A217" s="51"/>
      <c r="B217" s="65"/>
      <c r="C217" s="51"/>
      <c r="D217" s="51"/>
      <c r="E217" s="76"/>
      <c r="F217" s="66" t="str">
        <f aca="false">IF(C217="","",IFERROR(1/(1/INDEX(Clients!$H$6:$H$25,MATCH(C217,Clients!$B$6:$B$25,0))),Settings!$C$10))</f>
        <v/>
      </c>
      <c r="G217" s="77" t="str">
        <f aca="false">IF(OR(B217="",F217=""),"",B217+F217)</f>
        <v/>
      </c>
      <c r="H217" s="65"/>
      <c r="I217" s="76"/>
      <c r="J217" s="51"/>
      <c r="K217" s="73" t="str">
        <f aca="false">IF(E217="","",E217-N(I217))</f>
        <v/>
      </c>
      <c r="L217" s="78" t="str">
        <f aca="true">IF(E217="","",IF(K217&lt;=0,"Paid",IF(AND(G217&lt;&gt;"",TODAY()&gt;G217),"Overdue",IF(N(I217)&gt;0,"Partial","Open"))))</f>
        <v/>
      </c>
      <c r="M217" s="66" t="str">
        <f aca="true">IF(OR(E217="",G217=""),"",IF(K217&lt;=0,IF(H217="","",MAX(0,H217-G217)),MAX(0,TODAY()-G217)))</f>
        <v/>
      </c>
      <c r="N217" s="78" t="str">
        <f aca="true">IF(OR(E217="",G217=""),"",IF(K217&lt;=0,"",IF(TODAY()&lt;=G217,"Not due yet",IF(TODAY()-G217&lt;=30,"1-30 days late",IF(TODAY()-G217&lt;=60,"31-60 days late",IF(TODAY()-G217&lt;=90,"61-90 days late","90+ days late"))))))</f>
        <v/>
      </c>
      <c r="O217" s="66" t="str">
        <f aca="false">IF(OR(H217="",B217="",K217&gt;0),"",H217-B217)</f>
        <v/>
      </c>
    </row>
    <row r="218" customFormat="false" ht="15" hidden="false" customHeight="false" outlineLevel="0" collapsed="false">
      <c r="A218" s="51"/>
      <c r="B218" s="65"/>
      <c r="C218" s="51"/>
      <c r="D218" s="51"/>
      <c r="E218" s="76"/>
      <c r="F218" s="66" t="str">
        <f aca="false">IF(C218="","",IFERROR(1/(1/INDEX(Clients!$H$6:$H$25,MATCH(C218,Clients!$B$6:$B$25,0))),Settings!$C$10))</f>
        <v/>
      </c>
      <c r="G218" s="77" t="str">
        <f aca="false">IF(OR(B218="",F218=""),"",B218+F218)</f>
        <v/>
      </c>
      <c r="H218" s="65"/>
      <c r="I218" s="76"/>
      <c r="J218" s="51"/>
      <c r="K218" s="73" t="str">
        <f aca="false">IF(E218="","",E218-N(I218))</f>
        <v/>
      </c>
      <c r="L218" s="78" t="str">
        <f aca="true">IF(E218="","",IF(K218&lt;=0,"Paid",IF(AND(G218&lt;&gt;"",TODAY()&gt;G218),"Overdue",IF(N(I218)&gt;0,"Partial","Open"))))</f>
        <v/>
      </c>
      <c r="M218" s="66" t="str">
        <f aca="true">IF(OR(E218="",G218=""),"",IF(K218&lt;=0,IF(H218="","",MAX(0,H218-G218)),MAX(0,TODAY()-G218)))</f>
        <v/>
      </c>
      <c r="N218" s="78" t="str">
        <f aca="true">IF(OR(E218="",G218=""),"",IF(K218&lt;=0,"",IF(TODAY()&lt;=G218,"Not due yet",IF(TODAY()-G218&lt;=30,"1-30 days late",IF(TODAY()-G218&lt;=60,"31-60 days late",IF(TODAY()-G218&lt;=90,"61-90 days late","90+ days late"))))))</f>
        <v/>
      </c>
      <c r="O218" s="66" t="str">
        <f aca="false">IF(OR(H218="",B218="",K218&gt;0),"",H218-B218)</f>
        <v/>
      </c>
    </row>
    <row r="219" customFormat="false" ht="15" hidden="false" customHeight="false" outlineLevel="0" collapsed="false">
      <c r="A219" s="51"/>
      <c r="B219" s="65"/>
      <c r="C219" s="51"/>
      <c r="D219" s="51"/>
      <c r="E219" s="76"/>
      <c r="F219" s="66" t="str">
        <f aca="false">IF(C219="","",IFERROR(1/(1/INDEX(Clients!$H$6:$H$25,MATCH(C219,Clients!$B$6:$B$25,0))),Settings!$C$10))</f>
        <v/>
      </c>
      <c r="G219" s="77" t="str">
        <f aca="false">IF(OR(B219="",F219=""),"",B219+F219)</f>
        <v/>
      </c>
      <c r="H219" s="65"/>
      <c r="I219" s="76"/>
      <c r="J219" s="51"/>
      <c r="K219" s="73" t="str">
        <f aca="false">IF(E219="","",E219-N(I219))</f>
        <v/>
      </c>
      <c r="L219" s="78" t="str">
        <f aca="true">IF(E219="","",IF(K219&lt;=0,"Paid",IF(AND(G219&lt;&gt;"",TODAY()&gt;G219),"Overdue",IF(N(I219)&gt;0,"Partial","Open"))))</f>
        <v/>
      </c>
      <c r="M219" s="66" t="str">
        <f aca="true">IF(OR(E219="",G219=""),"",IF(K219&lt;=0,IF(H219="","",MAX(0,H219-G219)),MAX(0,TODAY()-G219)))</f>
        <v/>
      </c>
      <c r="N219" s="78" t="str">
        <f aca="true">IF(OR(E219="",G219=""),"",IF(K219&lt;=0,"",IF(TODAY()&lt;=G219,"Not due yet",IF(TODAY()-G219&lt;=30,"1-30 days late",IF(TODAY()-G219&lt;=60,"31-60 days late",IF(TODAY()-G219&lt;=90,"61-90 days late","90+ days late"))))))</f>
        <v/>
      </c>
      <c r="O219" s="66" t="str">
        <f aca="false">IF(OR(H219="",B219="",K219&gt;0),"",H219-B219)</f>
        <v/>
      </c>
    </row>
    <row r="220" customFormat="false" ht="15" hidden="false" customHeight="false" outlineLevel="0" collapsed="false">
      <c r="A220" s="51"/>
      <c r="B220" s="65"/>
      <c r="C220" s="51"/>
      <c r="D220" s="51"/>
      <c r="E220" s="76"/>
      <c r="F220" s="66" t="str">
        <f aca="false">IF(C220="","",IFERROR(1/(1/INDEX(Clients!$H$6:$H$25,MATCH(C220,Clients!$B$6:$B$25,0))),Settings!$C$10))</f>
        <v/>
      </c>
      <c r="G220" s="77" t="str">
        <f aca="false">IF(OR(B220="",F220=""),"",B220+F220)</f>
        <v/>
      </c>
      <c r="H220" s="65"/>
      <c r="I220" s="76"/>
      <c r="J220" s="51"/>
      <c r="K220" s="73" t="str">
        <f aca="false">IF(E220="","",E220-N(I220))</f>
        <v/>
      </c>
      <c r="L220" s="78" t="str">
        <f aca="true">IF(E220="","",IF(K220&lt;=0,"Paid",IF(AND(G220&lt;&gt;"",TODAY()&gt;G220),"Overdue",IF(N(I220)&gt;0,"Partial","Open"))))</f>
        <v/>
      </c>
      <c r="M220" s="66" t="str">
        <f aca="true">IF(OR(E220="",G220=""),"",IF(K220&lt;=0,IF(H220="","",MAX(0,H220-G220)),MAX(0,TODAY()-G220)))</f>
        <v/>
      </c>
      <c r="N220" s="78" t="str">
        <f aca="true">IF(OR(E220="",G220=""),"",IF(K220&lt;=0,"",IF(TODAY()&lt;=G220,"Not due yet",IF(TODAY()-G220&lt;=30,"1-30 days late",IF(TODAY()-G220&lt;=60,"31-60 days late",IF(TODAY()-G220&lt;=90,"61-90 days late","90+ days late"))))))</f>
        <v/>
      </c>
      <c r="O220" s="66" t="str">
        <f aca="false">IF(OR(H220="",B220="",K220&gt;0),"",H220-B220)</f>
        <v/>
      </c>
    </row>
    <row r="221" customFormat="false" ht="15" hidden="false" customHeight="false" outlineLevel="0" collapsed="false">
      <c r="A221" s="51"/>
      <c r="B221" s="65"/>
      <c r="C221" s="51"/>
      <c r="D221" s="51"/>
      <c r="E221" s="76"/>
      <c r="F221" s="66" t="str">
        <f aca="false">IF(C221="","",IFERROR(1/(1/INDEX(Clients!$H$6:$H$25,MATCH(C221,Clients!$B$6:$B$25,0))),Settings!$C$10))</f>
        <v/>
      </c>
      <c r="G221" s="77" t="str">
        <f aca="false">IF(OR(B221="",F221=""),"",B221+F221)</f>
        <v/>
      </c>
      <c r="H221" s="65"/>
      <c r="I221" s="76"/>
      <c r="J221" s="51"/>
      <c r="K221" s="73" t="str">
        <f aca="false">IF(E221="","",E221-N(I221))</f>
        <v/>
      </c>
      <c r="L221" s="78" t="str">
        <f aca="true">IF(E221="","",IF(K221&lt;=0,"Paid",IF(AND(G221&lt;&gt;"",TODAY()&gt;G221),"Overdue",IF(N(I221)&gt;0,"Partial","Open"))))</f>
        <v/>
      </c>
      <c r="M221" s="66" t="str">
        <f aca="true">IF(OR(E221="",G221=""),"",IF(K221&lt;=0,IF(H221="","",MAX(0,H221-G221)),MAX(0,TODAY()-G221)))</f>
        <v/>
      </c>
      <c r="N221" s="78" t="str">
        <f aca="true">IF(OR(E221="",G221=""),"",IF(K221&lt;=0,"",IF(TODAY()&lt;=G221,"Not due yet",IF(TODAY()-G221&lt;=30,"1-30 days late",IF(TODAY()-G221&lt;=60,"31-60 days late",IF(TODAY()-G221&lt;=90,"61-90 days late","90+ days late"))))))</f>
        <v/>
      </c>
      <c r="O221" s="66" t="str">
        <f aca="false">IF(OR(H221="",B221="",K221&gt;0),"",H221-B221)</f>
        <v/>
      </c>
    </row>
    <row r="222" customFormat="false" ht="15" hidden="false" customHeight="false" outlineLevel="0" collapsed="false">
      <c r="A222" s="51"/>
      <c r="B222" s="65"/>
      <c r="C222" s="51"/>
      <c r="D222" s="51"/>
      <c r="E222" s="76"/>
      <c r="F222" s="66" t="str">
        <f aca="false">IF(C222="","",IFERROR(1/(1/INDEX(Clients!$H$6:$H$25,MATCH(C222,Clients!$B$6:$B$25,0))),Settings!$C$10))</f>
        <v/>
      </c>
      <c r="G222" s="77" t="str">
        <f aca="false">IF(OR(B222="",F222=""),"",B222+F222)</f>
        <v/>
      </c>
      <c r="H222" s="65"/>
      <c r="I222" s="76"/>
      <c r="J222" s="51"/>
      <c r="K222" s="73" t="str">
        <f aca="false">IF(E222="","",E222-N(I222))</f>
        <v/>
      </c>
      <c r="L222" s="78" t="str">
        <f aca="true">IF(E222="","",IF(K222&lt;=0,"Paid",IF(AND(G222&lt;&gt;"",TODAY()&gt;G222),"Overdue",IF(N(I222)&gt;0,"Partial","Open"))))</f>
        <v/>
      </c>
      <c r="M222" s="66" t="str">
        <f aca="true">IF(OR(E222="",G222=""),"",IF(K222&lt;=0,IF(H222="","",MAX(0,H222-G222)),MAX(0,TODAY()-G222)))</f>
        <v/>
      </c>
      <c r="N222" s="78" t="str">
        <f aca="true">IF(OR(E222="",G222=""),"",IF(K222&lt;=0,"",IF(TODAY()&lt;=G222,"Not due yet",IF(TODAY()-G222&lt;=30,"1-30 days late",IF(TODAY()-G222&lt;=60,"31-60 days late",IF(TODAY()-G222&lt;=90,"61-90 days late","90+ days late"))))))</f>
        <v/>
      </c>
      <c r="O222" s="66" t="str">
        <f aca="false">IF(OR(H222="",B222="",K222&gt;0),"",H222-B222)</f>
        <v/>
      </c>
    </row>
    <row r="223" customFormat="false" ht="15" hidden="false" customHeight="false" outlineLevel="0" collapsed="false">
      <c r="A223" s="51"/>
      <c r="B223" s="65"/>
      <c r="C223" s="51"/>
      <c r="D223" s="51"/>
      <c r="E223" s="76"/>
      <c r="F223" s="66" t="str">
        <f aca="false">IF(C223="","",IFERROR(1/(1/INDEX(Clients!$H$6:$H$25,MATCH(C223,Clients!$B$6:$B$25,0))),Settings!$C$10))</f>
        <v/>
      </c>
      <c r="G223" s="77" t="str">
        <f aca="false">IF(OR(B223="",F223=""),"",B223+F223)</f>
        <v/>
      </c>
      <c r="H223" s="65"/>
      <c r="I223" s="76"/>
      <c r="J223" s="51"/>
      <c r="K223" s="73" t="str">
        <f aca="false">IF(E223="","",E223-N(I223))</f>
        <v/>
      </c>
      <c r="L223" s="78" t="str">
        <f aca="true">IF(E223="","",IF(K223&lt;=0,"Paid",IF(AND(G223&lt;&gt;"",TODAY()&gt;G223),"Overdue",IF(N(I223)&gt;0,"Partial","Open"))))</f>
        <v/>
      </c>
      <c r="M223" s="66" t="str">
        <f aca="true">IF(OR(E223="",G223=""),"",IF(K223&lt;=0,IF(H223="","",MAX(0,H223-G223)),MAX(0,TODAY()-G223)))</f>
        <v/>
      </c>
      <c r="N223" s="78" t="str">
        <f aca="true">IF(OR(E223="",G223=""),"",IF(K223&lt;=0,"",IF(TODAY()&lt;=G223,"Not due yet",IF(TODAY()-G223&lt;=30,"1-30 days late",IF(TODAY()-G223&lt;=60,"31-60 days late",IF(TODAY()-G223&lt;=90,"61-90 days late","90+ days late"))))))</f>
        <v/>
      </c>
      <c r="O223" s="66" t="str">
        <f aca="false">IF(OR(H223="",B223="",K223&gt;0),"",H223-B223)</f>
        <v/>
      </c>
    </row>
    <row r="224" customFormat="false" ht="15" hidden="false" customHeight="false" outlineLevel="0" collapsed="false">
      <c r="A224" s="51"/>
      <c r="B224" s="65"/>
      <c r="C224" s="51"/>
      <c r="D224" s="51"/>
      <c r="E224" s="76"/>
      <c r="F224" s="66" t="str">
        <f aca="false">IF(C224="","",IFERROR(1/(1/INDEX(Clients!$H$6:$H$25,MATCH(C224,Clients!$B$6:$B$25,0))),Settings!$C$10))</f>
        <v/>
      </c>
      <c r="G224" s="77" t="str">
        <f aca="false">IF(OR(B224="",F224=""),"",B224+F224)</f>
        <v/>
      </c>
      <c r="H224" s="65"/>
      <c r="I224" s="76"/>
      <c r="J224" s="51"/>
      <c r="K224" s="73" t="str">
        <f aca="false">IF(E224="","",E224-N(I224))</f>
        <v/>
      </c>
      <c r="L224" s="78" t="str">
        <f aca="true">IF(E224="","",IF(K224&lt;=0,"Paid",IF(AND(G224&lt;&gt;"",TODAY()&gt;G224),"Overdue",IF(N(I224)&gt;0,"Partial","Open"))))</f>
        <v/>
      </c>
      <c r="M224" s="66" t="str">
        <f aca="true">IF(OR(E224="",G224=""),"",IF(K224&lt;=0,IF(H224="","",MAX(0,H224-G224)),MAX(0,TODAY()-G224)))</f>
        <v/>
      </c>
      <c r="N224" s="78" t="str">
        <f aca="true">IF(OR(E224="",G224=""),"",IF(K224&lt;=0,"",IF(TODAY()&lt;=G224,"Not due yet",IF(TODAY()-G224&lt;=30,"1-30 days late",IF(TODAY()-G224&lt;=60,"31-60 days late",IF(TODAY()-G224&lt;=90,"61-90 days late","90+ days late"))))))</f>
        <v/>
      </c>
      <c r="O224" s="66" t="str">
        <f aca="false">IF(OR(H224="",B224="",K224&gt;0),"",H224-B224)</f>
        <v/>
      </c>
    </row>
    <row r="225" customFormat="false" ht="15" hidden="false" customHeight="false" outlineLevel="0" collapsed="false">
      <c r="A225" s="51"/>
      <c r="B225" s="65"/>
      <c r="C225" s="51"/>
      <c r="D225" s="51"/>
      <c r="E225" s="76"/>
      <c r="F225" s="66" t="str">
        <f aca="false">IF(C225="","",IFERROR(1/(1/INDEX(Clients!$H$6:$H$25,MATCH(C225,Clients!$B$6:$B$25,0))),Settings!$C$10))</f>
        <v/>
      </c>
      <c r="G225" s="77" t="str">
        <f aca="false">IF(OR(B225="",F225=""),"",B225+F225)</f>
        <v/>
      </c>
      <c r="H225" s="65"/>
      <c r="I225" s="76"/>
      <c r="J225" s="51"/>
      <c r="K225" s="73" t="str">
        <f aca="false">IF(E225="","",E225-N(I225))</f>
        <v/>
      </c>
      <c r="L225" s="78" t="str">
        <f aca="true">IF(E225="","",IF(K225&lt;=0,"Paid",IF(AND(G225&lt;&gt;"",TODAY()&gt;G225),"Overdue",IF(N(I225)&gt;0,"Partial","Open"))))</f>
        <v/>
      </c>
      <c r="M225" s="66" t="str">
        <f aca="true">IF(OR(E225="",G225=""),"",IF(K225&lt;=0,IF(H225="","",MAX(0,H225-G225)),MAX(0,TODAY()-G225)))</f>
        <v/>
      </c>
      <c r="N225" s="78" t="str">
        <f aca="true">IF(OR(E225="",G225=""),"",IF(K225&lt;=0,"",IF(TODAY()&lt;=G225,"Not due yet",IF(TODAY()-G225&lt;=30,"1-30 days late",IF(TODAY()-G225&lt;=60,"31-60 days late",IF(TODAY()-G225&lt;=90,"61-90 days late","90+ days late"))))))</f>
        <v/>
      </c>
      <c r="O225" s="66" t="str">
        <f aca="false">IF(OR(H225="",B225="",K225&gt;0),"",H225-B225)</f>
        <v/>
      </c>
    </row>
    <row r="226" customFormat="false" ht="15" hidden="false" customHeight="false" outlineLevel="0" collapsed="false">
      <c r="A226" s="51"/>
      <c r="B226" s="65"/>
      <c r="C226" s="51"/>
      <c r="D226" s="51"/>
      <c r="E226" s="76"/>
      <c r="F226" s="66" t="str">
        <f aca="false">IF(C226="","",IFERROR(1/(1/INDEX(Clients!$H$6:$H$25,MATCH(C226,Clients!$B$6:$B$25,0))),Settings!$C$10))</f>
        <v/>
      </c>
      <c r="G226" s="77" t="str">
        <f aca="false">IF(OR(B226="",F226=""),"",B226+F226)</f>
        <v/>
      </c>
      <c r="H226" s="65"/>
      <c r="I226" s="76"/>
      <c r="J226" s="51"/>
      <c r="K226" s="73" t="str">
        <f aca="false">IF(E226="","",E226-N(I226))</f>
        <v/>
      </c>
      <c r="L226" s="78" t="str">
        <f aca="true">IF(E226="","",IF(K226&lt;=0,"Paid",IF(AND(G226&lt;&gt;"",TODAY()&gt;G226),"Overdue",IF(N(I226)&gt;0,"Partial","Open"))))</f>
        <v/>
      </c>
      <c r="M226" s="66" t="str">
        <f aca="true">IF(OR(E226="",G226=""),"",IF(K226&lt;=0,IF(H226="","",MAX(0,H226-G226)),MAX(0,TODAY()-G226)))</f>
        <v/>
      </c>
      <c r="N226" s="78" t="str">
        <f aca="true">IF(OR(E226="",G226=""),"",IF(K226&lt;=0,"",IF(TODAY()&lt;=G226,"Not due yet",IF(TODAY()-G226&lt;=30,"1-30 days late",IF(TODAY()-G226&lt;=60,"31-60 days late",IF(TODAY()-G226&lt;=90,"61-90 days late","90+ days late"))))))</f>
        <v/>
      </c>
      <c r="O226" s="66" t="str">
        <f aca="false">IF(OR(H226="",B226="",K226&gt;0),"",H226-B226)</f>
        <v/>
      </c>
    </row>
    <row r="227" customFormat="false" ht="15" hidden="false" customHeight="false" outlineLevel="0" collapsed="false">
      <c r="A227" s="51"/>
      <c r="B227" s="65"/>
      <c r="C227" s="51"/>
      <c r="D227" s="51"/>
      <c r="E227" s="76"/>
      <c r="F227" s="66" t="str">
        <f aca="false">IF(C227="","",IFERROR(1/(1/INDEX(Clients!$H$6:$H$25,MATCH(C227,Clients!$B$6:$B$25,0))),Settings!$C$10))</f>
        <v/>
      </c>
      <c r="G227" s="77" t="str">
        <f aca="false">IF(OR(B227="",F227=""),"",B227+F227)</f>
        <v/>
      </c>
      <c r="H227" s="65"/>
      <c r="I227" s="76"/>
      <c r="J227" s="51"/>
      <c r="K227" s="73" t="str">
        <f aca="false">IF(E227="","",E227-N(I227))</f>
        <v/>
      </c>
      <c r="L227" s="78" t="str">
        <f aca="true">IF(E227="","",IF(K227&lt;=0,"Paid",IF(AND(G227&lt;&gt;"",TODAY()&gt;G227),"Overdue",IF(N(I227)&gt;0,"Partial","Open"))))</f>
        <v/>
      </c>
      <c r="M227" s="66" t="str">
        <f aca="true">IF(OR(E227="",G227=""),"",IF(K227&lt;=0,IF(H227="","",MAX(0,H227-G227)),MAX(0,TODAY()-G227)))</f>
        <v/>
      </c>
      <c r="N227" s="78" t="str">
        <f aca="true">IF(OR(E227="",G227=""),"",IF(K227&lt;=0,"",IF(TODAY()&lt;=G227,"Not due yet",IF(TODAY()-G227&lt;=30,"1-30 days late",IF(TODAY()-G227&lt;=60,"31-60 days late",IF(TODAY()-G227&lt;=90,"61-90 days late","90+ days late"))))))</f>
        <v/>
      </c>
      <c r="O227" s="66" t="str">
        <f aca="false">IF(OR(H227="",B227="",K227&gt;0),"",H227-B227)</f>
        <v/>
      </c>
    </row>
    <row r="228" customFormat="false" ht="15" hidden="false" customHeight="false" outlineLevel="0" collapsed="false">
      <c r="A228" s="51"/>
      <c r="B228" s="65"/>
      <c r="C228" s="51"/>
      <c r="D228" s="51"/>
      <c r="E228" s="76"/>
      <c r="F228" s="66" t="str">
        <f aca="false">IF(C228="","",IFERROR(1/(1/INDEX(Clients!$H$6:$H$25,MATCH(C228,Clients!$B$6:$B$25,0))),Settings!$C$10))</f>
        <v/>
      </c>
      <c r="G228" s="77" t="str">
        <f aca="false">IF(OR(B228="",F228=""),"",B228+F228)</f>
        <v/>
      </c>
      <c r="H228" s="65"/>
      <c r="I228" s="76"/>
      <c r="J228" s="51"/>
      <c r="K228" s="73" t="str">
        <f aca="false">IF(E228="","",E228-N(I228))</f>
        <v/>
      </c>
      <c r="L228" s="78" t="str">
        <f aca="true">IF(E228="","",IF(K228&lt;=0,"Paid",IF(AND(G228&lt;&gt;"",TODAY()&gt;G228),"Overdue",IF(N(I228)&gt;0,"Partial","Open"))))</f>
        <v/>
      </c>
      <c r="M228" s="66" t="str">
        <f aca="true">IF(OR(E228="",G228=""),"",IF(K228&lt;=0,IF(H228="","",MAX(0,H228-G228)),MAX(0,TODAY()-G228)))</f>
        <v/>
      </c>
      <c r="N228" s="78" t="str">
        <f aca="true">IF(OR(E228="",G228=""),"",IF(K228&lt;=0,"",IF(TODAY()&lt;=G228,"Not due yet",IF(TODAY()-G228&lt;=30,"1-30 days late",IF(TODAY()-G228&lt;=60,"31-60 days late",IF(TODAY()-G228&lt;=90,"61-90 days late","90+ days late"))))))</f>
        <v/>
      </c>
      <c r="O228" s="66" t="str">
        <f aca="false">IF(OR(H228="",B228="",K228&gt;0),"",H228-B228)</f>
        <v/>
      </c>
    </row>
    <row r="229" customFormat="false" ht="15" hidden="false" customHeight="false" outlineLevel="0" collapsed="false">
      <c r="A229" s="51"/>
      <c r="B229" s="65"/>
      <c r="C229" s="51"/>
      <c r="D229" s="51"/>
      <c r="E229" s="76"/>
      <c r="F229" s="66" t="str">
        <f aca="false">IF(C229="","",IFERROR(1/(1/INDEX(Clients!$H$6:$H$25,MATCH(C229,Clients!$B$6:$B$25,0))),Settings!$C$10))</f>
        <v/>
      </c>
      <c r="G229" s="77" t="str">
        <f aca="false">IF(OR(B229="",F229=""),"",B229+F229)</f>
        <v/>
      </c>
      <c r="H229" s="65"/>
      <c r="I229" s="76"/>
      <c r="J229" s="51"/>
      <c r="K229" s="73" t="str">
        <f aca="false">IF(E229="","",E229-N(I229))</f>
        <v/>
      </c>
      <c r="L229" s="78" t="str">
        <f aca="true">IF(E229="","",IF(K229&lt;=0,"Paid",IF(AND(G229&lt;&gt;"",TODAY()&gt;G229),"Overdue",IF(N(I229)&gt;0,"Partial","Open"))))</f>
        <v/>
      </c>
      <c r="M229" s="66" t="str">
        <f aca="true">IF(OR(E229="",G229=""),"",IF(K229&lt;=0,IF(H229="","",MAX(0,H229-G229)),MAX(0,TODAY()-G229)))</f>
        <v/>
      </c>
      <c r="N229" s="78" t="str">
        <f aca="true">IF(OR(E229="",G229=""),"",IF(K229&lt;=0,"",IF(TODAY()&lt;=G229,"Not due yet",IF(TODAY()-G229&lt;=30,"1-30 days late",IF(TODAY()-G229&lt;=60,"31-60 days late",IF(TODAY()-G229&lt;=90,"61-90 days late","90+ days late"))))))</f>
        <v/>
      </c>
      <c r="O229" s="66" t="str">
        <f aca="false">IF(OR(H229="",B229="",K229&gt;0),"",H229-B229)</f>
        <v/>
      </c>
    </row>
    <row r="230" customFormat="false" ht="15" hidden="false" customHeight="false" outlineLevel="0" collapsed="false">
      <c r="A230" s="51"/>
      <c r="B230" s="65"/>
      <c r="C230" s="51"/>
      <c r="D230" s="51"/>
      <c r="E230" s="76"/>
      <c r="F230" s="66" t="str">
        <f aca="false">IF(C230="","",IFERROR(1/(1/INDEX(Clients!$H$6:$H$25,MATCH(C230,Clients!$B$6:$B$25,0))),Settings!$C$10))</f>
        <v/>
      </c>
      <c r="G230" s="77" t="str">
        <f aca="false">IF(OR(B230="",F230=""),"",B230+F230)</f>
        <v/>
      </c>
      <c r="H230" s="65"/>
      <c r="I230" s="76"/>
      <c r="J230" s="51"/>
      <c r="K230" s="73" t="str">
        <f aca="false">IF(E230="","",E230-N(I230))</f>
        <v/>
      </c>
      <c r="L230" s="78" t="str">
        <f aca="true">IF(E230="","",IF(K230&lt;=0,"Paid",IF(AND(G230&lt;&gt;"",TODAY()&gt;G230),"Overdue",IF(N(I230)&gt;0,"Partial","Open"))))</f>
        <v/>
      </c>
      <c r="M230" s="66" t="str">
        <f aca="true">IF(OR(E230="",G230=""),"",IF(K230&lt;=0,IF(H230="","",MAX(0,H230-G230)),MAX(0,TODAY()-G230)))</f>
        <v/>
      </c>
      <c r="N230" s="78" t="str">
        <f aca="true">IF(OR(E230="",G230=""),"",IF(K230&lt;=0,"",IF(TODAY()&lt;=G230,"Not due yet",IF(TODAY()-G230&lt;=30,"1-30 days late",IF(TODAY()-G230&lt;=60,"31-60 days late",IF(TODAY()-G230&lt;=90,"61-90 days late","90+ days late"))))))</f>
        <v/>
      </c>
      <c r="O230" s="66" t="str">
        <f aca="false">IF(OR(H230="",B230="",K230&gt;0),"",H230-B230)</f>
        <v/>
      </c>
    </row>
    <row r="231" customFormat="false" ht="15" hidden="false" customHeight="false" outlineLevel="0" collapsed="false">
      <c r="A231" s="51"/>
      <c r="B231" s="65"/>
      <c r="C231" s="51"/>
      <c r="D231" s="51"/>
      <c r="E231" s="76"/>
      <c r="F231" s="66" t="str">
        <f aca="false">IF(C231="","",IFERROR(1/(1/INDEX(Clients!$H$6:$H$25,MATCH(C231,Clients!$B$6:$B$25,0))),Settings!$C$10))</f>
        <v/>
      </c>
      <c r="G231" s="77" t="str">
        <f aca="false">IF(OR(B231="",F231=""),"",B231+F231)</f>
        <v/>
      </c>
      <c r="H231" s="65"/>
      <c r="I231" s="76"/>
      <c r="J231" s="51"/>
      <c r="K231" s="73" t="str">
        <f aca="false">IF(E231="","",E231-N(I231))</f>
        <v/>
      </c>
      <c r="L231" s="78" t="str">
        <f aca="true">IF(E231="","",IF(K231&lt;=0,"Paid",IF(AND(G231&lt;&gt;"",TODAY()&gt;G231),"Overdue",IF(N(I231)&gt;0,"Partial","Open"))))</f>
        <v/>
      </c>
      <c r="M231" s="66" t="str">
        <f aca="true">IF(OR(E231="",G231=""),"",IF(K231&lt;=0,IF(H231="","",MAX(0,H231-G231)),MAX(0,TODAY()-G231)))</f>
        <v/>
      </c>
      <c r="N231" s="78" t="str">
        <f aca="true">IF(OR(E231="",G231=""),"",IF(K231&lt;=0,"",IF(TODAY()&lt;=G231,"Not due yet",IF(TODAY()-G231&lt;=30,"1-30 days late",IF(TODAY()-G231&lt;=60,"31-60 days late",IF(TODAY()-G231&lt;=90,"61-90 days late","90+ days late"))))))</f>
        <v/>
      </c>
      <c r="O231" s="66" t="str">
        <f aca="false">IF(OR(H231="",B231="",K231&gt;0),"",H231-B231)</f>
        <v/>
      </c>
    </row>
    <row r="232" customFormat="false" ht="15" hidden="false" customHeight="false" outlineLevel="0" collapsed="false">
      <c r="A232" s="51"/>
      <c r="B232" s="65"/>
      <c r="C232" s="51"/>
      <c r="D232" s="51"/>
      <c r="E232" s="76"/>
      <c r="F232" s="66" t="str">
        <f aca="false">IF(C232="","",IFERROR(1/(1/INDEX(Clients!$H$6:$H$25,MATCH(C232,Clients!$B$6:$B$25,0))),Settings!$C$10))</f>
        <v/>
      </c>
      <c r="G232" s="77" t="str">
        <f aca="false">IF(OR(B232="",F232=""),"",B232+F232)</f>
        <v/>
      </c>
      <c r="H232" s="65"/>
      <c r="I232" s="76"/>
      <c r="J232" s="51"/>
      <c r="K232" s="73" t="str">
        <f aca="false">IF(E232="","",E232-N(I232))</f>
        <v/>
      </c>
      <c r="L232" s="78" t="str">
        <f aca="true">IF(E232="","",IF(K232&lt;=0,"Paid",IF(AND(G232&lt;&gt;"",TODAY()&gt;G232),"Overdue",IF(N(I232)&gt;0,"Partial","Open"))))</f>
        <v/>
      </c>
      <c r="M232" s="66" t="str">
        <f aca="true">IF(OR(E232="",G232=""),"",IF(K232&lt;=0,IF(H232="","",MAX(0,H232-G232)),MAX(0,TODAY()-G232)))</f>
        <v/>
      </c>
      <c r="N232" s="78" t="str">
        <f aca="true">IF(OR(E232="",G232=""),"",IF(K232&lt;=0,"",IF(TODAY()&lt;=G232,"Not due yet",IF(TODAY()-G232&lt;=30,"1-30 days late",IF(TODAY()-G232&lt;=60,"31-60 days late",IF(TODAY()-G232&lt;=90,"61-90 days late","90+ days late"))))))</f>
        <v/>
      </c>
      <c r="O232" s="66" t="str">
        <f aca="false">IF(OR(H232="",B232="",K232&gt;0),"",H232-B232)</f>
        <v/>
      </c>
    </row>
    <row r="233" customFormat="false" ht="15" hidden="false" customHeight="false" outlineLevel="0" collapsed="false">
      <c r="A233" s="51"/>
      <c r="B233" s="65"/>
      <c r="C233" s="51"/>
      <c r="D233" s="51"/>
      <c r="E233" s="76"/>
      <c r="F233" s="66" t="str">
        <f aca="false">IF(C233="","",IFERROR(1/(1/INDEX(Clients!$H$6:$H$25,MATCH(C233,Clients!$B$6:$B$25,0))),Settings!$C$10))</f>
        <v/>
      </c>
      <c r="G233" s="77" t="str">
        <f aca="false">IF(OR(B233="",F233=""),"",B233+F233)</f>
        <v/>
      </c>
      <c r="H233" s="65"/>
      <c r="I233" s="76"/>
      <c r="J233" s="51"/>
      <c r="K233" s="73" t="str">
        <f aca="false">IF(E233="","",E233-N(I233))</f>
        <v/>
      </c>
      <c r="L233" s="78" t="str">
        <f aca="true">IF(E233="","",IF(K233&lt;=0,"Paid",IF(AND(G233&lt;&gt;"",TODAY()&gt;G233),"Overdue",IF(N(I233)&gt;0,"Partial","Open"))))</f>
        <v/>
      </c>
      <c r="M233" s="66" t="str">
        <f aca="true">IF(OR(E233="",G233=""),"",IF(K233&lt;=0,IF(H233="","",MAX(0,H233-G233)),MAX(0,TODAY()-G233)))</f>
        <v/>
      </c>
      <c r="N233" s="78" t="str">
        <f aca="true">IF(OR(E233="",G233=""),"",IF(K233&lt;=0,"",IF(TODAY()&lt;=G233,"Not due yet",IF(TODAY()-G233&lt;=30,"1-30 days late",IF(TODAY()-G233&lt;=60,"31-60 days late",IF(TODAY()-G233&lt;=90,"61-90 days late","90+ days late"))))))</f>
        <v/>
      </c>
      <c r="O233" s="66" t="str">
        <f aca="false">IF(OR(H233="",B233="",K233&gt;0),"",H233-B233)</f>
        <v/>
      </c>
    </row>
    <row r="234" customFormat="false" ht="15" hidden="false" customHeight="false" outlineLevel="0" collapsed="false">
      <c r="A234" s="51"/>
      <c r="B234" s="65"/>
      <c r="C234" s="51"/>
      <c r="D234" s="51"/>
      <c r="E234" s="76"/>
      <c r="F234" s="66" t="str">
        <f aca="false">IF(C234="","",IFERROR(1/(1/INDEX(Clients!$H$6:$H$25,MATCH(C234,Clients!$B$6:$B$25,0))),Settings!$C$10))</f>
        <v/>
      </c>
      <c r="G234" s="77" t="str">
        <f aca="false">IF(OR(B234="",F234=""),"",B234+F234)</f>
        <v/>
      </c>
      <c r="H234" s="65"/>
      <c r="I234" s="76"/>
      <c r="J234" s="51"/>
      <c r="K234" s="73" t="str">
        <f aca="false">IF(E234="","",E234-N(I234))</f>
        <v/>
      </c>
      <c r="L234" s="78" t="str">
        <f aca="true">IF(E234="","",IF(K234&lt;=0,"Paid",IF(AND(G234&lt;&gt;"",TODAY()&gt;G234),"Overdue",IF(N(I234)&gt;0,"Partial","Open"))))</f>
        <v/>
      </c>
      <c r="M234" s="66" t="str">
        <f aca="true">IF(OR(E234="",G234=""),"",IF(K234&lt;=0,IF(H234="","",MAX(0,H234-G234)),MAX(0,TODAY()-G234)))</f>
        <v/>
      </c>
      <c r="N234" s="78" t="str">
        <f aca="true">IF(OR(E234="",G234=""),"",IF(K234&lt;=0,"",IF(TODAY()&lt;=G234,"Not due yet",IF(TODAY()-G234&lt;=30,"1-30 days late",IF(TODAY()-G234&lt;=60,"31-60 days late",IF(TODAY()-G234&lt;=90,"61-90 days late","90+ days late"))))))</f>
        <v/>
      </c>
      <c r="O234" s="66" t="str">
        <f aca="false">IF(OR(H234="",B234="",K234&gt;0),"",H234-B234)</f>
        <v/>
      </c>
    </row>
    <row r="235" customFormat="false" ht="15" hidden="false" customHeight="false" outlineLevel="0" collapsed="false">
      <c r="A235" s="51"/>
      <c r="B235" s="65"/>
      <c r="C235" s="51"/>
      <c r="D235" s="51"/>
      <c r="E235" s="76"/>
      <c r="F235" s="66" t="str">
        <f aca="false">IF(C235="","",IFERROR(1/(1/INDEX(Clients!$H$6:$H$25,MATCH(C235,Clients!$B$6:$B$25,0))),Settings!$C$10))</f>
        <v/>
      </c>
      <c r="G235" s="77" t="str">
        <f aca="false">IF(OR(B235="",F235=""),"",B235+F235)</f>
        <v/>
      </c>
      <c r="H235" s="65"/>
      <c r="I235" s="76"/>
      <c r="J235" s="51"/>
      <c r="K235" s="73" t="str">
        <f aca="false">IF(E235="","",E235-N(I235))</f>
        <v/>
      </c>
      <c r="L235" s="78" t="str">
        <f aca="true">IF(E235="","",IF(K235&lt;=0,"Paid",IF(AND(G235&lt;&gt;"",TODAY()&gt;G235),"Overdue",IF(N(I235)&gt;0,"Partial","Open"))))</f>
        <v/>
      </c>
      <c r="M235" s="66" t="str">
        <f aca="true">IF(OR(E235="",G235=""),"",IF(K235&lt;=0,IF(H235="","",MAX(0,H235-G235)),MAX(0,TODAY()-G235)))</f>
        <v/>
      </c>
      <c r="N235" s="78" t="str">
        <f aca="true">IF(OR(E235="",G235=""),"",IF(K235&lt;=0,"",IF(TODAY()&lt;=G235,"Not due yet",IF(TODAY()-G235&lt;=30,"1-30 days late",IF(TODAY()-G235&lt;=60,"31-60 days late",IF(TODAY()-G235&lt;=90,"61-90 days late","90+ days late"))))))</f>
        <v/>
      </c>
      <c r="O235" s="66" t="str">
        <f aca="false">IF(OR(H235="",B235="",K235&gt;0),"",H235-B235)</f>
        <v/>
      </c>
    </row>
    <row r="236" customFormat="false" ht="15" hidden="false" customHeight="false" outlineLevel="0" collapsed="false">
      <c r="A236" s="51"/>
      <c r="B236" s="65"/>
      <c r="C236" s="51"/>
      <c r="D236" s="51"/>
      <c r="E236" s="76"/>
      <c r="F236" s="66" t="str">
        <f aca="false">IF(C236="","",IFERROR(1/(1/INDEX(Clients!$H$6:$H$25,MATCH(C236,Clients!$B$6:$B$25,0))),Settings!$C$10))</f>
        <v/>
      </c>
      <c r="G236" s="77" t="str">
        <f aca="false">IF(OR(B236="",F236=""),"",B236+F236)</f>
        <v/>
      </c>
      <c r="H236" s="65"/>
      <c r="I236" s="76"/>
      <c r="J236" s="51"/>
      <c r="K236" s="73" t="str">
        <f aca="false">IF(E236="","",E236-N(I236))</f>
        <v/>
      </c>
      <c r="L236" s="78" t="str">
        <f aca="true">IF(E236="","",IF(K236&lt;=0,"Paid",IF(AND(G236&lt;&gt;"",TODAY()&gt;G236),"Overdue",IF(N(I236)&gt;0,"Partial","Open"))))</f>
        <v/>
      </c>
      <c r="M236" s="66" t="str">
        <f aca="true">IF(OR(E236="",G236=""),"",IF(K236&lt;=0,IF(H236="","",MAX(0,H236-G236)),MAX(0,TODAY()-G236)))</f>
        <v/>
      </c>
      <c r="N236" s="78" t="str">
        <f aca="true">IF(OR(E236="",G236=""),"",IF(K236&lt;=0,"",IF(TODAY()&lt;=G236,"Not due yet",IF(TODAY()-G236&lt;=30,"1-30 days late",IF(TODAY()-G236&lt;=60,"31-60 days late",IF(TODAY()-G236&lt;=90,"61-90 days late","90+ days late"))))))</f>
        <v/>
      </c>
      <c r="O236" s="66" t="str">
        <f aca="false">IF(OR(H236="",B236="",K236&gt;0),"",H236-B236)</f>
        <v/>
      </c>
    </row>
    <row r="237" customFormat="false" ht="15" hidden="false" customHeight="false" outlineLevel="0" collapsed="false">
      <c r="A237" s="51"/>
      <c r="B237" s="65"/>
      <c r="C237" s="51"/>
      <c r="D237" s="51"/>
      <c r="E237" s="76"/>
      <c r="F237" s="66" t="str">
        <f aca="false">IF(C237="","",IFERROR(1/(1/INDEX(Clients!$H$6:$H$25,MATCH(C237,Clients!$B$6:$B$25,0))),Settings!$C$10))</f>
        <v/>
      </c>
      <c r="G237" s="77" t="str">
        <f aca="false">IF(OR(B237="",F237=""),"",B237+F237)</f>
        <v/>
      </c>
      <c r="H237" s="65"/>
      <c r="I237" s="76"/>
      <c r="J237" s="51"/>
      <c r="K237" s="73" t="str">
        <f aca="false">IF(E237="","",E237-N(I237))</f>
        <v/>
      </c>
      <c r="L237" s="78" t="str">
        <f aca="true">IF(E237="","",IF(K237&lt;=0,"Paid",IF(AND(G237&lt;&gt;"",TODAY()&gt;G237),"Overdue",IF(N(I237)&gt;0,"Partial","Open"))))</f>
        <v/>
      </c>
      <c r="M237" s="66" t="str">
        <f aca="true">IF(OR(E237="",G237=""),"",IF(K237&lt;=0,IF(H237="","",MAX(0,H237-G237)),MAX(0,TODAY()-G237)))</f>
        <v/>
      </c>
      <c r="N237" s="78" t="str">
        <f aca="true">IF(OR(E237="",G237=""),"",IF(K237&lt;=0,"",IF(TODAY()&lt;=G237,"Not due yet",IF(TODAY()-G237&lt;=30,"1-30 days late",IF(TODAY()-G237&lt;=60,"31-60 days late",IF(TODAY()-G237&lt;=90,"61-90 days late","90+ days late"))))))</f>
        <v/>
      </c>
      <c r="O237" s="66" t="str">
        <f aca="false">IF(OR(H237="",B237="",K237&gt;0),"",H237-B237)</f>
        <v/>
      </c>
    </row>
    <row r="238" customFormat="false" ht="15" hidden="false" customHeight="false" outlineLevel="0" collapsed="false">
      <c r="A238" s="51"/>
      <c r="B238" s="65"/>
      <c r="C238" s="51"/>
      <c r="D238" s="51"/>
      <c r="E238" s="76"/>
      <c r="F238" s="66" t="str">
        <f aca="false">IF(C238="","",IFERROR(1/(1/INDEX(Clients!$H$6:$H$25,MATCH(C238,Clients!$B$6:$B$25,0))),Settings!$C$10))</f>
        <v/>
      </c>
      <c r="G238" s="77" t="str">
        <f aca="false">IF(OR(B238="",F238=""),"",B238+F238)</f>
        <v/>
      </c>
      <c r="H238" s="65"/>
      <c r="I238" s="76"/>
      <c r="J238" s="51"/>
      <c r="K238" s="73" t="str">
        <f aca="false">IF(E238="","",E238-N(I238))</f>
        <v/>
      </c>
      <c r="L238" s="78" t="str">
        <f aca="true">IF(E238="","",IF(K238&lt;=0,"Paid",IF(AND(G238&lt;&gt;"",TODAY()&gt;G238),"Overdue",IF(N(I238)&gt;0,"Partial","Open"))))</f>
        <v/>
      </c>
      <c r="M238" s="66" t="str">
        <f aca="true">IF(OR(E238="",G238=""),"",IF(K238&lt;=0,IF(H238="","",MAX(0,H238-G238)),MAX(0,TODAY()-G238)))</f>
        <v/>
      </c>
      <c r="N238" s="78" t="str">
        <f aca="true">IF(OR(E238="",G238=""),"",IF(K238&lt;=0,"",IF(TODAY()&lt;=G238,"Not due yet",IF(TODAY()-G238&lt;=30,"1-30 days late",IF(TODAY()-G238&lt;=60,"31-60 days late",IF(TODAY()-G238&lt;=90,"61-90 days late","90+ days late"))))))</f>
        <v/>
      </c>
      <c r="O238" s="66" t="str">
        <f aca="false">IF(OR(H238="",B238="",K238&gt;0),"",H238-B238)</f>
        <v/>
      </c>
    </row>
    <row r="239" customFormat="false" ht="15" hidden="false" customHeight="false" outlineLevel="0" collapsed="false">
      <c r="A239" s="51"/>
      <c r="B239" s="65"/>
      <c r="C239" s="51"/>
      <c r="D239" s="51"/>
      <c r="E239" s="76"/>
      <c r="F239" s="66" t="str">
        <f aca="false">IF(C239="","",IFERROR(1/(1/INDEX(Clients!$H$6:$H$25,MATCH(C239,Clients!$B$6:$B$25,0))),Settings!$C$10))</f>
        <v/>
      </c>
      <c r="G239" s="77" t="str">
        <f aca="false">IF(OR(B239="",F239=""),"",B239+F239)</f>
        <v/>
      </c>
      <c r="H239" s="65"/>
      <c r="I239" s="76"/>
      <c r="J239" s="51"/>
      <c r="K239" s="73" t="str">
        <f aca="false">IF(E239="","",E239-N(I239))</f>
        <v/>
      </c>
      <c r="L239" s="78" t="str">
        <f aca="true">IF(E239="","",IF(K239&lt;=0,"Paid",IF(AND(G239&lt;&gt;"",TODAY()&gt;G239),"Overdue",IF(N(I239)&gt;0,"Partial","Open"))))</f>
        <v/>
      </c>
      <c r="M239" s="66" t="str">
        <f aca="true">IF(OR(E239="",G239=""),"",IF(K239&lt;=0,IF(H239="","",MAX(0,H239-G239)),MAX(0,TODAY()-G239)))</f>
        <v/>
      </c>
      <c r="N239" s="78" t="str">
        <f aca="true">IF(OR(E239="",G239=""),"",IF(K239&lt;=0,"",IF(TODAY()&lt;=G239,"Not due yet",IF(TODAY()-G239&lt;=30,"1-30 days late",IF(TODAY()-G239&lt;=60,"31-60 days late",IF(TODAY()-G239&lt;=90,"61-90 days late","90+ days late"))))))</f>
        <v/>
      </c>
      <c r="O239" s="66" t="str">
        <f aca="false">IF(OR(H239="",B239="",K239&gt;0),"",H239-B239)</f>
        <v/>
      </c>
    </row>
    <row r="240" customFormat="false" ht="15" hidden="false" customHeight="false" outlineLevel="0" collapsed="false">
      <c r="A240" s="51"/>
      <c r="B240" s="65"/>
      <c r="C240" s="51"/>
      <c r="D240" s="51"/>
      <c r="E240" s="76"/>
      <c r="F240" s="66" t="str">
        <f aca="false">IF(C240="","",IFERROR(1/(1/INDEX(Clients!$H$6:$H$25,MATCH(C240,Clients!$B$6:$B$25,0))),Settings!$C$10))</f>
        <v/>
      </c>
      <c r="G240" s="77" t="str">
        <f aca="false">IF(OR(B240="",F240=""),"",B240+F240)</f>
        <v/>
      </c>
      <c r="H240" s="65"/>
      <c r="I240" s="76"/>
      <c r="J240" s="51"/>
      <c r="K240" s="73" t="str">
        <f aca="false">IF(E240="","",E240-N(I240))</f>
        <v/>
      </c>
      <c r="L240" s="78" t="str">
        <f aca="true">IF(E240="","",IF(K240&lt;=0,"Paid",IF(AND(G240&lt;&gt;"",TODAY()&gt;G240),"Overdue",IF(N(I240)&gt;0,"Partial","Open"))))</f>
        <v/>
      </c>
      <c r="M240" s="66" t="str">
        <f aca="true">IF(OR(E240="",G240=""),"",IF(K240&lt;=0,IF(H240="","",MAX(0,H240-G240)),MAX(0,TODAY()-G240)))</f>
        <v/>
      </c>
      <c r="N240" s="78" t="str">
        <f aca="true">IF(OR(E240="",G240=""),"",IF(K240&lt;=0,"",IF(TODAY()&lt;=G240,"Not due yet",IF(TODAY()-G240&lt;=30,"1-30 days late",IF(TODAY()-G240&lt;=60,"31-60 days late",IF(TODAY()-G240&lt;=90,"61-90 days late","90+ days late"))))))</f>
        <v/>
      </c>
      <c r="O240" s="66" t="str">
        <f aca="false">IF(OR(H240="",B240="",K240&gt;0),"",H240-B240)</f>
        <v/>
      </c>
    </row>
    <row r="241" customFormat="false" ht="15" hidden="false" customHeight="false" outlineLevel="0" collapsed="false">
      <c r="A241" s="51"/>
      <c r="B241" s="65"/>
      <c r="C241" s="51"/>
      <c r="D241" s="51"/>
      <c r="E241" s="76"/>
      <c r="F241" s="66" t="str">
        <f aca="false">IF(C241="","",IFERROR(1/(1/INDEX(Clients!$H$6:$H$25,MATCH(C241,Clients!$B$6:$B$25,0))),Settings!$C$10))</f>
        <v/>
      </c>
      <c r="G241" s="77" t="str">
        <f aca="false">IF(OR(B241="",F241=""),"",B241+F241)</f>
        <v/>
      </c>
      <c r="H241" s="65"/>
      <c r="I241" s="76"/>
      <c r="J241" s="51"/>
      <c r="K241" s="73" t="str">
        <f aca="false">IF(E241="","",E241-N(I241))</f>
        <v/>
      </c>
      <c r="L241" s="78" t="str">
        <f aca="true">IF(E241="","",IF(K241&lt;=0,"Paid",IF(AND(G241&lt;&gt;"",TODAY()&gt;G241),"Overdue",IF(N(I241)&gt;0,"Partial","Open"))))</f>
        <v/>
      </c>
      <c r="M241" s="66" t="str">
        <f aca="true">IF(OR(E241="",G241=""),"",IF(K241&lt;=0,IF(H241="","",MAX(0,H241-G241)),MAX(0,TODAY()-G241)))</f>
        <v/>
      </c>
      <c r="N241" s="78" t="str">
        <f aca="true">IF(OR(E241="",G241=""),"",IF(K241&lt;=0,"",IF(TODAY()&lt;=G241,"Not due yet",IF(TODAY()-G241&lt;=30,"1-30 days late",IF(TODAY()-G241&lt;=60,"31-60 days late",IF(TODAY()-G241&lt;=90,"61-90 days late","90+ days late"))))))</f>
        <v/>
      </c>
      <c r="O241" s="66" t="str">
        <f aca="false">IF(OR(H241="",B241="",K241&gt;0),"",H241-B241)</f>
        <v/>
      </c>
    </row>
    <row r="242" customFormat="false" ht="15" hidden="false" customHeight="false" outlineLevel="0" collapsed="false">
      <c r="A242" s="51"/>
      <c r="B242" s="65"/>
      <c r="C242" s="51"/>
      <c r="D242" s="51"/>
      <c r="E242" s="76"/>
      <c r="F242" s="66" t="str">
        <f aca="false">IF(C242="","",IFERROR(1/(1/INDEX(Clients!$H$6:$H$25,MATCH(C242,Clients!$B$6:$B$25,0))),Settings!$C$10))</f>
        <v/>
      </c>
      <c r="G242" s="77" t="str">
        <f aca="false">IF(OR(B242="",F242=""),"",B242+F242)</f>
        <v/>
      </c>
      <c r="H242" s="65"/>
      <c r="I242" s="76"/>
      <c r="J242" s="51"/>
      <c r="K242" s="73" t="str">
        <f aca="false">IF(E242="","",E242-N(I242))</f>
        <v/>
      </c>
      <c r="L242" s="78" t="str">
        <f aca="true">IF(E242="","",IF(K242&lt;=0,"Paid",IF(AND(G242&lt;&gt;"",TODAY()&gt;G242),"Overdue",IF(N(I242)&gt;0,"Partial","Open"))))</f>
        <v/>
      </c>
      <c r="M242" s="66" t="str">
        <f aca="true">IF(OR(E242="",G242=""),"",IF(K242&lt;=0,IF(H242="","",MAX(0,H242-G242)),MAX(0,TODAY()-G242)))</f>
        <v/>
      </c>
      <c r="N242" s="78" t="str">
        <f aca="true">IF(OR(E242="",G242=""),"",IF(K242&lt;=0,"",IF(TODAY()&lt;=G242,"Not due yet",IF(TODAY()-G242&lt;=30,"1-30 days late",IF(TODAY()-G242&lt;=60,"31-60 days late",IF(TODAY()-G242&lt;=90,"61-90 days late","90+ days late"))))))</f>
        <v/>
      </c>
      <c r="O242" s="66" t="str">
        <f aca="false">IF(OR(H242="",B242="",K242&gt;0),"",H242-B242)</f>
        <v/>
      </c>
    </row>
    <row r="243" customFormat="false" ht="15" hidden="false" customHeight="false" outlineLevel="0" collapsed="false">
      <c r="A243" s="51"/>
      <c r="B243" s="65"/>
      <c r="C243" s="51"/>
      <c r="D243" s="51"/>
      <c r="E243" s="76"/>
      <c r="F243" s="66" t="str">
        <f aca="false">IF(C243="","",IFERROR(1/(1/INDEX(Clients!$H$6:$H$25,MATCH(C243,Clients!$B$6:$B$25,0))),Settings!$C$10))</f>
        <v/>
      </c>
      <c r="G243" s="77" t="str">
        <f aca="false">IF(OR(B243="",F243=""),"",B243+F243)</f>
        <v/>
      </c>
      <c r="H243" s="65"/>
      <c r="I243" s="76"/>
      <c r="J243" s="51"/>
      <c r="K243" s="73" t="str">
        <f aca="false">IF(E243="","",E243-N(I243))</f>
        <v/>
      </c>
      <c r="L243" s="78" t="str">
        <f aca="true">IF(E243="","",IF(K243&lt;=0,"Paid",IF(AND(G243&lt;&gt;"",TODAY()&gt;G243),"Overdue",IF(N(I243)&gt;0,"Partial","Open"))))</f>
        <v/>
      </c>
      <c r="M243" s="66" t="str">
        <f aca="true">IF(OR(E243="",G243=""),"",IF(K243&lt;=0,IF(H243="","",MAX(0,H243-G243)),MAX(0,TODAY()-G243)))</f>
        <v/>
      </c>
      <c r="N243" s="78" t="str">
        <f aca="true">IF(OR(E243="",G243=""),"",IF(K243&lt;=0,"",IF(TODAY()&lt;=G243,"Not due yet",IF(TODAY()-G243&lt;=30,"1-30 days late",IF(TODAY()-G243&lt;=60,"31-60 days late",IF(TODAY()-G243&lt;=90,"61-90 days late","90+ days late"))))))</f>
        <v/>
      </c>
      <c r="O243" s="66" t="str">
        <f aca="false">IF(OR(H243="",B243="",K243&gt;0),"",H243-B243)</f>
        <v/>
      </c>
    </row>
    <row r="244" customFormat="false" ht="15" hidden="false" customHeight="false" outlineLevel="0" collapsed="false">
      <c r="A244" s="51"/>
      <c r="B244" s="65"/>
      <c r="C244" s="51"/>
      <c r="D244" s="51"/>
      <c r="E244" s="76"/>
      <c r="F244" s="66" t="str">
        <f aca="false">IF(C244="","",IFERROR(1/(1/INDEX(Clients!$H$6:$H$25,MATCH(C244,Clients!$B$6:$B$25,0))),Settings!$C$10))</f>
        <v/>
      </c>
      <c r="G244" s="77" t="str">
        <f aca="false">IF(OR(B244="",F244=""),"",B244+F244)</f>
        <v/>
      </c>
      <c r="H244" s="65"/>
      <c r="I244" s="76"/>
      <c r="J244" s="51"/>
      <c r="K244" s="73" t="str">
        <f aca="false">IF(E244="","",E244-N(I244))</f>
        <v/>
      </c>
      <c r="L244" s="78" t="str">
        <f aca="true">IF(E244="","",IF(K244&lt;=0,"Paid",IF(AND(G244&lt;&gt;"",TODAY()&gt;G244),"Overdue",IF(N(I244)&gt;0,"Partial","Open"))))</f>
        <v/>
      </c>
      <c r="M244" s="66" t="str">
        <f aca="true">IF(OR(E244="",G244=""),"",IF(K244&lt;=0,IF(H244="","",MAX(0,H244-G244)),MAX(0,TODAY()-G244)))</f>
        <v/>
      </c>
      <c r="N244" s="78" t="str">
        <f aca="true">IF(OR(E244="",G244=""),"",IF(K244&lt;=0,"",IF(TODAY()&lt;=G244,"Not due yet",IF(TODAY()-G244&lt;=30,"1-30 days late",IF(TODAY()-G244&lt;=60,"31-60 days late",IF(TODAY()-G244&lt;=90,"61-90 days late","90+ days late"))))))</f>
        <v/>
      </c>
      <c r="O244" s="66" t="str">
        <f aca="false">IF(OR(H244="",B244="",K244&gt;0),"",H244-B244)</f>
        <v/>
      </c>
    </row>
    <row r="245" customFormat="false" ht="15" hidden="false" customHeight="false" outlineLevel="0" collapsed="false">
      <c r="A245" s="51"/>
      <c r="B245" s="65"/>
      <c r="C245" s="51"/>
      <c r="D245" s="51"/>
      <c r="E245" s="76"/>
      <c r="F245" s="66" t="str">
        <f aca="false">IF(C245="","",IFERROR(1/(1/INDEX(Clients!$H$6:$H$25,MATCH(C245,Clients!$B$6:$B$25,0))),Settings!$C$10))</f>
        <v/>
      </c>
      <c r="G245" s="77" t="str">
        <f aca="false">IF(OR(B245="",F245=""),"",B245+F245)</f>
        <v/>
      </c>
      <c r="H245" s="65"/>
      <c r="I245" s="76"/>
      <c r="J245" s="51"/>
      <c r="K245" s="73" t="str">
        <f aca="false">IF(E245="","",E245-N(I245))</f>
        <v/>
      </c>
      <c r="L245" s="78" t="str">
        <f aca="true">IF(E245="","",IF(K245&lt;=0,"Paid",IF(AND(G245&lt;&gt;"",TODAY()&gt;G245),"Overdue",IF(N(I245)&gt;0,"Partial","Open"))))</f>
        <v/>
      </c>
      <c r="M245" s="66" t="str">
        <f aca="true">IF(OR(E245="",G245=""),"",IF(K245&lt;=0,IF(H245="","",MAX(0,H245-G245)),MAX(0,TODAY()-G245)))</f>
        <v/>
      </c>
      <c r="N245" s="78" t="str">
        <f aca="true">IF(OR(E245="",G245=""),"",IF(K245&lt;=0,"",IF(TODAY()&lt;=G245,"Not due yet",IF(TODAY()-G245&lt;=30,"1-30 days late",IF(TODAY()-G245&lt;=60,"31-60 days late",IF(TODAY()-G245&lt;=90,"61-90 days late","90+ days late"))))))</f>
        <v/>
      </c>
      <c r="O245" s="66" t="str">
        <f aca="false">IF(OR(H245="",B245="",K245&gt;0),"",H245-B245)</f>
        <v/>
      </c>
    </row>
    <row r="246" customFormat="false" ht="15" hidden="false" customHeight="false" outlineLevel="0" collapsed="false">
      <c r="A246" s="51"/>
      <c r="B246" s="65"/>
      <c r="C246" s="51"/>
      <c r="D246" s="51"/>
      <c r="E246" s="76"/>
      <c r="F246" s="66" t="str">
        <f aca="false">IF(C246="","",IFERROR(1/(1/INDEX(Clients!$H$6:$H$25,MATCH(C246,Clients!$B$6:$B$25,0))),Settings!$C$10))</f>
        <v/>
      </c>
      <c r="G246" s="77" t="str">
        <f aca="false">IF(OR(B246="",F246=""),"",B246+F246)</f>
        <v/>
      </c>
      <c r="H246" s="65"/>
      <c r="I246" s="76"/>
      <c r="J246" s="51"/>
      <c r="K246" s="73" t="str">
        <f aca="false">IF(E246="","",E246-N(I246))</f>
        <v/>
      </c>
      <c r="L246" s="78" t="str">
        <f aca="true">IF(E246="","",IF(K246&lt;=0,"Paid",IF(AND(G246&lt;&gt;"",TODAY()&gt;G246),"Overdue",IF(N(I246)&gt;0,"Partial","Open"))))</f>
        <v/>
      </c>
      <c r="M246" s="66" t="str">
        <f aca="true">IF(OR(E246="",G246=""),"",IF(K246&lt;=0,IF(H246="","",MAX(0,H246-G246)),MAX(0,TODAY()-G246)))</f>
        <v/>
      </c>
      <c r="N246" s="78" t="str">
        <f aca="true">IF(OR(E246="",G246=""),"",IF(K246&lt;=0,"",IF(TODAY()&lt;=G246,"Not due yet",IF(TODAY()-G246&lt;=30,"1-30 days late",IF(TODAY()-G246&lt;=60,"31-60 days late",IF(TODAY()-G246&lt;=90,"61-90 days late","90+ days late"))))))</f>
        <v/>
      </c>
      <c r="O246" s="66" t="str">
        <f aca="false">IF(OR(H246="",B246="",K246&gt;0),"",H246-B246)</f>
        <v/>
      </c>
    </row>
    <row r="247" customFormat="false" ht="15" hidden="false" customHeight="false" outlineLevel="0" collapsed="false">
      <c r="A247" s="51"/>
      <c r="B247" s="65"/>
      <c r="C247" s="51"/>
      <c r="D247" s="51"/>
      <c r="E247" s="76"/>
      <c r="F247" s="66" t="str">
        <f aca="false">IF(C247="","",IFERROR(1/(1/INDEX(Clients!$H$6:$H$25,MATCH(C247,Clients!$B$6:$B$25,0))),Settings!$C$10))</f>
        <v/>
      </c>
      <c r="G247" s="77" t="str">
        <f aca="false">IF(OR(B247="",F247=""),"",B247+F247)</f>
        <v/>
      </c>
      <c r="H247" s="65"/>
      <c r="I247" s="76"/>
      <c r="J247" s="51"/>
      <c r="K247" s="73" t="str">
        <f aca="false">IF(E247="","",E247-N(I247))</f>
        <v/>
      </c>
      <c r="L247" s="78" t="str">
        <f aca="true">IF(E247="","",IF(K247&lt;=0,"Paid",IF(AND(G247&lt;&gt;"",TODAY()&gt;G247),"Overdue",IF(N(I247)&gt;0,"Partial","Open"))))</f>
        <v/>
      </c>
      <c r="M247" s="66" t="str">
        <f aca="true">IF(OR(E247="",G247=""),"",IF(K247&lt;=0,IF(H247="","",MAX(0,H247-G247)),MAX(0,TODAY()-G247)))</f>
        <v/>
      </c>
      <c r="N247" s="78" t="str">
        <f aca="true">IF(OR(E247="",G247=""),"",IF(K247&lt;=0,"",IF(TODAY()&lt;=G247,"Not due yet",IF(TODAY()-G247&lt;=30,"1-30 days late",IF(TODAY()-G247&lt;=60,"31-60 days late",IF(TODAY()-G247&lt;=90,"61-90 days late","90+ days late"))))))</f>
        <v/>
      </c>
      <c r="O247" s="66" t="str">
        <f aca="false">IF(OR(H247="",B247="",K247&gt;0),"",H247-B247)</f>
        <v/>
      </c>
    </row>
    <row r="248" customFormat="false" ht="15" hidden="false" customHeight="false" outlineLevel="0" collapsed="false">
      <c r="A248" s="51"/>
      <c r="B248" s="65"/>
      <c r="C248" s="51"/>
      <c r="D248" s="51"/>
      <c r="E248" s="76"/>
      <c r="F248" s="66" t="str">
        <f aca="false">IF(C248="","",IFERROR(1/(1/INDEX(Clients!$H$6:$H$25,MATCH(C248,Clients!$B$6:$B$25,0))),Settings!$C$10))</f>
        <v/>
      </c>
      <c r="G248" s="77" t="str">
        <f aca="false">IF(OR(B248="",F248=""),"",B248+F248)</f>
        <v/>
      </c>
      <c r="H248" s="65"/>
      <c r="I248" s="76"/>
      <c r="J248" s="51"/>
      <c r="K248" s="73" t="str">
        <f aca="false">IF(E248="","",E248-N(I248))</f>
        <v/>
      </c>
      <c r="L248" s="78" t="str">
        <f aca="true">IF(E248="","",IF(K248&lt;=0,"Paid",IF(AND(G248&lt;&gt;"",TODAY()&gt;G248),"Overdue",IF(N(I248)&gt;0,"Partial","Open"))))</f>
        <v/>
      </c>
      <c r="M248" s="66" t="str">
        <f aca="true">IF(OR(E248="",G248=""),"",IF(K248&lt;=0,IF(H248="","",MAX(0,H248-G248)),MAX(0,TODAY()-G248)))</f>
        <v/>
      </c>
      <c r="N248" s="78" t="str">
        <f aca="true">IF(OR(E248="",G248=""),"",IF(K248&lt;=0,"",IF(TODAY()&lt;=G248,"Not due yet",IF(TODAY()-G248&lt;=30,"1-30 days late",IF(TODAY()-G248&lt;=60,"31-60 days late",IF(TODAY()-G248&lt;=90,"61-90 days late","90+ days late"))))))</f>
        <v/>
      </c>
      <c r="O248" s="66" t="str">
        <f aca="false">IF(OR(H248="",B248="",K248&gt;0),"",H248-B248)</f>
        <v/>
      </c>
    </row>
    <row r="249" customFormat="false" ht="15" hidden="false" customHeight="false" outlineLevel="0" collapsed="false">
      <c r="A249" s="51"/>
      <c r="B249" s="65"/>
      <c r="C249" s="51"/>
      <c r="D249" s="51"/>
      <c r="E249" s="76"/>
      <c r="F249" s="66" t="str">
        <f aca="false">IF(C249="","",IFERROR(1/(1/INDEX(Clients!$H$6:$H$25,MATCH(C249,Clients!$B$6:$B$25,0))),Settings!$C$10))</f>
        <v/>
      </c>
      <c r="G249" s="77" t="str">
        <f aca="false">IF(OR(B249="",F249=""),"",B249+F249)</f>
        <v/>
      </c>
      <c r="H249" s="65"/>
      <c r="I249" s="76"/>
      <c r="J249" s="51"/>
      <c r="K249" s="73" t="str">
        <f aca="false">IF(E249="","",E249-N(I249))</f>
        <v/>
      </c>
      <c r="L249" s="78" t="str">
        <f aca="true">IF(E249="","",IF(K249&lt;=0,"Paid",IF(AND(G249&lt;&gt;"",TODAY()&gt;G249),"Overdue",IF(N(I249)&gt;0,"Partial","Open"))))</f>
        <v/>
      </c>
      <c r="M249" s="66" t="str">
        <f aca="true">IF(OR(E249="",G249=""),"",IF(K249&lt;=0,IF(H249="","",MAX(0,H249-G249)),MAX(0,TODAY()-G249)))</f>
        <v/>
      </c>
      <c r="N249" s="78" t="str">
        <f aca="true">IF(OR(E249="",G249=""),"",IF(K249&lt;=0,"",IF(TODAY()&lt;=G249,"Not due yet",IF(TODAY()-G249&lt;=30,"1-30 days late",IF(TODAY()-G249&lt;=60,"31-60 days late",IF(TODAY()-G249&lt;=90,"61-90 days late","90+ days late"))))))</f>
        <v/>
      </c>
      <c r="O249" s="66" t="str">
        <f aca="false">IF(OR(H249="",B249="",K249&gt;0),"",H249-B249)</f>
        <v/>
      </c>
    </row>
    <row r="250" customFormat="false" ht="15" hidden="false" customHeight="false" outlineLevel="0" collapsed="false">
      <c r="A250" s="51"/>
      <c r="B250" s="65"/>
      <c r="C250" s="51"/>
      <c r="D250" s="51"/>
      <c r="E250" s="76"/>
      <c r="F250" s="66" t="str">
        <f aca="false">IF(C250="","",IFERROR(1/(1/INDEX(Clients!$H$6:$H$25,MATCH(C250,Clients!$B$6:$B$25,0))),Settings!$C$10))</f>
        <v/>
      </c>
      <c r="G250" s="77" t="str">
        <f aca="false">IF(OR(B250="",F250=""),"",B250+F250)</f>
        <v/>
      </c>
      <c r="H250" s="65"/>
      <c r="I250" s="76"/>
      <c r="J250" s="51"/>
      <c r="K250" s="73" t="str">
        <f aca="false">IF(E250="","",E250-N(I250))</f>
        <v/>
      </c>
      <c r="L250" s="78" t="str">
        <f aca="true">IF(E250="","",IF(K250&lt;=0,"Paid",IF(AND(G250&lt;&gt;"",TODAY()&gt;G250),"Overdue",IF(N(I250)&gt;0,"Partial","Open"))))</f>
        <v/>
      </c>
      <c r="M250" s="66" t="str">
        <f aca="true">IF(OR(E250="",G250=""),"",IF(K250&lt;=0,IF(H250="","",MAX(0,H250-G250)),MAX(0,TODAY()-G250)))</f>
        <v/>
      </c>
      <c r="N250" s="78" t="str">
        <f aca="true">IF(OR(E250="",G250=""),"",IF(K250&lt;=0,"",IF(TODAY()&lt;=G250,"Not due yet",IF(TODAY()-G250&lt;=30,"1-30 days late",IF(TODAY()-G250&lt;=60,"31-60 days late",IF(TODAY()-G250&lt;=90,"61-90 days late","90+ days late"))))))</f>
        <v/>
      </c>
      <c r="O250" s="66" t="str">
        <f aca="false">IF(OR(H250="",B250="",K250&gt;0),"",H250-B250)</f>
        <v/>
      </c>
    </row>
    <row r="251" customFormat="false" ht="15" hidden="false" customHeight="false" outlineLevel="0" collapsed="false">
      <c r="A251" s="51"/>
      <c r="B251" s="65"/>
      <c r="C251" s="51"/>
      <c r="D251" s="51"/>
      <c r="E251" s="76"/>
      <c r="F251" s="66" t="str">
        <f aca="false">IF(C251="","",IFERROR(1/(1/INDEX(Clients!$H$6:$H$25,MATCH(C251,Clients!$B$6:$B$25,0))),Settings!$C$10))</f>
        <v/>
      </c>
      <c r="G251" s="77" t="str">
        <f aca="false">IF(OR(B251="",F251=""),"",B251+F251)</f>
        <v/>
      </c>
      <c r="H251" s="65"/>
      <c r="I251" s="76"/>
      <c r="J251" s="51"/>
      <c r="K251" s="73" t="str">
        <f aca="false">IF(E251="","",E251-N(I251))</f>
        <v/>
      </c>
      <c r="L251" s="78" t="str">
        <f aca="true">IF(E251="","",IF(K251&lt;=0,"Paid",IF(AND(G251&lt;&gt;"",TODAY()&gt;G251),"Overdue",IF(N(I251)&gt;0,"Partial","Open"))))</f>
        <v/>
      </c>
      <c r="M251" s="66" t="str">
        <f aca="true">IF(OR(E251="",G251=""),"",IF(K251&lt;=0,IF(H251="","",MAX(0,H251-G251)),MAX(0,TODAY()-G251)))</f>
        <v/>
      </c>
      <c r="N251" s="78" t="str">
        <f aca="true">IF(OR(E251="",G251=""),"",IF(K251&lt;=0,"",IF(TODAY()&lt;=G251,"Not due yet",IF(TODAY()-G251&lt;=30,"1-30 days late",IF(TODAY()-G251&lt;=60,"31-60 days late",IF(TODAY()-G251&lt;=90,"61-90 days late","90+ days late"))))))</f>
        <v/>
      </c>
      <c r="O251" s="66" t="str">
        <f aca="false">IF(OR(H251="",B251="",K251&gt;0),"",H251-B251)</f>
        <v/>
      </c>
    </row>
    <row r="252" customFormat="false" ht="15" hidden="false" customHeight="false" outlineLevel="0" collapsed="false">
      <c r="A252" s="51"/>
      <c r="B252" s="65"/>
      <c r="C252" s="51"/>
      <c r="D252" s="51"/>
      <c r="E252" s="76"/>
      <c r="F252" s="66" t="str">
        <f aca="false">IF(C252="","",IFERROR(1/(1/INDEX(Clients!$H$6:$H$25,MATCH(C252,Clients!$B$6:$B$25,0))),Settings!$C$10))</f>
        <v/>
      </c>
      <c r="G252" s="77" t="str">
        <f aca="false">IF(OR(B252="",F252=""),"",B252+F252)</f>
        <v/>
      </c>
      <c r="H252" s="65"/>
      <c r="I252" s="76"/>
      <c r="J252" s="51"/>
      <c r="K252" s="73" t="str">
        <f aca="false">IF(E252="","",E252-N(I252))</f>
        <v/>
      </c>
      <c r="L252" s="78" t="str">
        <f aca="true">IF(E252="","",IF(K252&lt;=0,"Paid",IF(AND(G252&lt;&gt;"",TODAY()&gt;G252),"Overdue",IF(N(I252)&gt;0,"Partial","Open"))))</f>
        <v/>
      </c>
      <c r="M252" s="66" t="str">
        <f aca="true">IF(OR(E252="",G252=""),"",IF(K252&lt;=0,IF(H252="","",MAX(0,H252-G252)),MAX(0,TODAY()-G252)))</f>
        <v/>
      </c>
      <c r="N252" s="78" t="str">
        <f aca="true">IF(OR(E252="",G252=""),"",IF(K252&lt;=0,"",IF(TODAY()&lt;=G252,"Not due yet",IF(TODAY()-G252&lt;=30,"1-30 days late",IF(TODAY()-G252&lt;=60,"31-60 days late",IF(TODAY()-G252&lt;=90,"61-90 days late","90+ days late"))))))</f>
        <v/>
      </c>
      <c r="O252" s="66" t="str">
        <f aca="false">IF(OR(H252="",B252="",K252&gt;0),"",H252-B252)</f>
        <v/>
      </c>
    </row>
    <row r="253" customFormat="false" ht="15" hidden="false" customHeight="false" outlineLevel="0" collapsed="false">
      <c r="A253" s="51"/>
      <c r="B253" s="65"/>
      <c r="C253" s="51"/>
      <c r="D253" s="51"/>
      <c r="E253" s="76"/>
      <c r="F253" s="66" t="str">
        <f aca="false">IF(C253="","",IFERROR(1/(1/INDEX(Clients!$H$6:$H$25,MATCH(C253,Clients!$B$6:$B$25,0))),Settings!$C$10))</f>
        <v/>
      </c>
      <c r="G253" s="77" t="str">
        <f aca="false">IF(OR(B253="",F253=""),"",B253+F253)</f>
        <v/>
      </c>
      <c r="H253" s="65"/>
      <c r="I253" s="76"/>
      <c r="J253" s="51"/>
      <c r="K253" s="73" t="str">
        <f aca="false">IF(E253="","",E253-N(I253))</f>
        <v/>
      </c>
      <c r="L253" s="78" t="str">
        <f aca="true">IF(E253="","",IF(K253&lt;=0,"Paid",IF(AND(G253&lt;&gt;"",TODAY()&gt;G253),"Overdue",IF(N(I253)&gt;0,"Partial","Open"))))</f>
        <v/>
      </c>
      <c r="M253" s="66" t="str">
        <f aca="true">IF(OR(E253="",G253=""),"",IF(K253&lt;=0,IF(H253="","",MAX(0,H253-G253)),MAX(0,TODAY()-G253)))</f>
        <v/>
      </c>
      <c r="N253" s="78" t="str">
        <f aca="true">IF(OR(E253="",G253=""),"",IF(K253&lt;=0,"",IF(TODAY()&lt;=G253,"Not due yet",IF(TODAY()-G253&lt;=30,"1-30 days late",IF(TODAY()-G253&lt;=60,"31-60 days late",IF(TODAY()-G253&lt;=90,"61-90 days late","90+ days late"))))))</f>
        <v/>
      </c>
      <c r="O253" s="66" t="str">
        <f aca="false">IF(OR(H253="",B253="",K253&gt;0),"",H253-B253)</f>
        <v/>
      </c>
    </row>
    <row r="254" customFormat="false" ht="15" hidden="false" customHeight="false" outlineLevel="0" collapsed="false">
      <c r="A254" s="51"/>
      <c r="B254" s="65"/>
      <c r="C254" s="51"/>
      <c r="D254" s="51"/>
      <c r="E254" s="76"/>
      <c r="F254" s="66" t="str">
        <f aca="false">IF(C254="","",IFERROR(1/(1/INDEX(Clients!$H$6:$H$25,MATCH(C254,Clients!$B$6:$B$25,0))),Settings!$C$10))</f>
        <v/>
      </c>
      <c r="G254" s="77" t="str">
        <f aca="false">IF(OR(B254="",F254=""),"",B254+F254)</f>
        <v/>
      </c>
      <c r="H254" s="65"/>
      <c r="I254" s="76"/>
      <c r="J254" s="51"/>
      <c r="K254" s="73" t="str">
        <f aca="false">IF(E254="","",E254-N(I254))</f>
        <v/>
      </c>
      <c r="L254" s="78" t="str">
        <f aca="true">IF(E254="","",IF(K254&lt;=0,"Paid",IF(AND(G254&lt;&gt;"",TODAY()&gt;G254),"Overdue",IF(N(I254)&gt;0,"Partial","Open"))))</f>
        <v/>
      </c>
      <c r="M254" s="66" t="str">
        <f aca="true">IF(OR(E254="",G254=""),"",IF(K254&lt;=0,IF(H254="","",MAX(0,H254-G254)),MAX(0,TODAY()-G254)))</f>
        <v/>
      </c>
      <c r="N254" s="78" t="str">
        <f aca="true">IF(OR(E254="",G254=""),"",IF(K254&lt;=0,"",IF(TODAY()&lt;=G254,"Not due yet",IF(TODAY()-G254&lt;=30,"1-30 days late",IF(TODAY()-G254&lt;=60,"31-60 days late",IF(TODAY()-G254&lt;=90,"61-90 days late","90+ days late"))))))</f>
        <v/>
      </c>
      <c r="O254" s="66" t="str">
        <f aca="false">IF(OR(H254="",B254="",K254&gt;0),"",H254-B254)</f>
        <v/>
      </c>
    </row>
    <row r="255" customFormat="false" ht="15" hidden="false" customHeight="false" outlineLevel="0" collapsed="false">
      <c r="A255" s="51"/>
      <c r="B255" s="65"/>
      <c r="C255" s="51"/>
      <c r="D255" s="51"/>
      <c r="E255" s="76"/>
      <c r="F255" s="66" t="str">
        <f aca="false">IF(C255="","",IFERROR(1/(1/INDEX(Clients!$H$6:$H$25,MATCH(C255,Clients!$B$6:$B$25,0))),Settings!$C$10))</f>
        <v/>
      </c>
      <c r="G255" s="77" t="str">
        <f aca="false">IF(OR(B255="",F255=""),"",B255+F255)</f>
        <v/>
      </c>
      <c r="H255" s="65"/>
      <c r="I255" s="76"/>
      <c r="J255" s="51"/>
      <c r="K255" s="73" t="str">
        <f aca="false">IF(E255="","",E255-N(I255))</f>
        <v/>
      </c>
      <c r="L255" s="78" t="str">
        <f aca="true">IF(E255="","",IF(K255&lt;=0,"Paid",IF(AND(G255&lt;&gt;"",TODAY()&gt;G255),"Overdue",IF(N(I255)&gt;0,"Partial","Open"))))</f>
        <v/>
      </c>
      <c r="M255" s="66" t="str">
        <f aca="true">IF(OR(E255="",G255=""),"",IF(K255&lt;=0,IF(H255="","",MAX(0,H255-G255)),MAX(0,TODAY()-G255)))</f>
        <v/>
      </c>
      <c r="N255" s="78" t="str">
        <f aca="true">IF(OR(E255="",G255=""),"",IF(K255&lt;=0,"",IF(TODAY()&lt;=G255,"Not due yet",IF(TODAY()-G255&lt;=30,"1-30 days late",IF(TODAY()-G255&lt;=60,"31-60 days late",IF(TODAY()-G255&lt;=90,"61-90 days late","90+ days late"))))))</f>
        <v/>
      </c>
      <c r="O255" s="66" t="str">
        <f aca="false">IF(OR(H255="",B255="",K255&gt;0),"",H255-B255)</f>
        <v/>
      </c>
    </row>
    <row r="256" customFormat="false" ht="15" hidden="false" customHeight="false" outlineLevel="0" collapsed="false">
      <c r="A256" s="51"/>
      <c r="B256" s="65"/>
      <c r="C256" s="51"/>
      <c r="D256" s="51"/>
      <c r="E256" s="76"/>
      <c r="F256" s="66" t="str">
        <f aca="false">IF(C256="","",IFERROR(1/(1/INDEX(Clients!$H$6:$H$25,MATCH(C256,Clients!$B$6:$B$25,0))),Settings!$C$10))</f>
        <v/>
      </c>
      <c r="G256" s="77" t="str">
        <f aca="false">IF(OR(B256="",F256=""),"",B256+F256)</f>
        <v/>
      </c>
      <c r="H256" s="65"/>
      <c r="I256" s="76"/>
      <c r="J256" s="51"/>
      <c r="K256" s="73" t="str">
        <f aca="false">IF(E256="","",E256-N(I256))</f>
        <v/>
      </c>
      <c r="L256" s="78" t="str">
        <f aca="true">IF(E256="","",IF(K256&lt;=0,"Paid",IF(AND(G256&lt;&gt;"",TODAY()&gt;G256),"Overdue",IF(N(I256)&gt;0,"Partial","Open"))))</f>
        <v/>
      </c>
      <c r="M256" s="66" t="str">
        <f aca="true">IF(OR(E256="",G256=""),"",IF(K256&lt;=0,IF(H256="","",MAX(0,H256-G256)),MAX(0,TODAY()-G256)))</f>
        <v/>
      </c>
      <c r="N256" s="78" t="str">
        <f aca="true">IF(OR(E256="",G256=""),"",IF(K256&lt;=0,"",IF(TODAY()&lt;=G256,"Not due yet",IF(TODAY()-G256&lt;=30,"1-30 days late",IF(TODAY()-G256&lt;=60,"31-60 days late",IF(TODAY()-G256&lt;=90,"61-90 days late","90+ days late"))))))</f>
        <v/>
      </c>
      <c r="O256" s="66" t="str">
        <f aca="false">IF(OR(H256="",B256="",K256&gt;0),"",H256-B256)</f>
        <v/>
      </c>
    </row>
    <row r="257" customFormat="false" ht="15" hidden="false" customHeight="false" outlineLevel="0" collapsed="false">
      <c r="A257" s="51"/>
      <c r="B257" s="65"/>
      <c r="C257" s="51"/>
      <c r="D257" s="51"/>
      <c r="E257" s="76"/>
      <c r="F257" s="66" t="str">
        <f aca="false">IF(C257="","",IFERROR(1/(1/INDEX(Clients!$H$6:$H$25,MATCH(C257,Clients!$B$6:$B$25,0))),Settings!$C$10))</f>
        <v/>
      </c>
      <c r="G257" s="77" t="str">
        <f aca="false">IF(OR(B257="",F257=""),"",B257+F257)</f>
        <v/>
      </c>
      <c r="H257" s="65"/>
      <c r="I257" s="76"/>
      <c r="J257" s="51"/>
      <c r="K257" s="73" t="str">
        <f aca="false">IF(E257="","",E257-N(I257))</f>
        <v/>
      </c>
      <c r="L257" s="78" t="str">
        <f aca="true">IF(E257="","",IF(K257&lt;=0,"Paid",IF(AND(G257&lt;&gt;"",TODAY()&gt;G257),"Overdue",IF(N(I257)&gt;0,"Partial","Open"))))</f>
        <v/>
      </c>
      <c r="M257" s="66" t="str">
        <f aca="true">IF(OR(E257="",G257=""),"",IF(K257&lt;=0,IF(H257="","",MAX(0,H257-G257)),MAX(0,TODAY()-G257)))</f>
        <v/>
      </c>
      <c r="N257" s="78" t="str">
        <f aca="true">IF(OR(E257="",G257=""),"",IF(K257&lt;=0,"",IF(TODAY()&lt;=G257,"Not due yet",IF(TODAY()-G257&lt;=30,"1-30 days late",IF(TODAY()-G257&lt;=60,"31-60 days late",IF(TODAY()-G257&lt;=90,"61-90 days late","90+ days late"))))))</f>
        <v/>
      </c>
      <c r="O257" s="66" t="str">
        <f aca="false">IF(OR(H257="",B257="",K257&gt;0),"",H257-B257)</f>
        <v/>
      </c>
    </row>
    <row r="258" customFormat="false" ht="15" hidden="false" customHeight="false" outlineLevel="0" collapsed="false">
      <c r="A258" s="51"/>
      <c r="B258" s="65"/>
      <c r="C258" s="51"/>
      <c r="D258" s="51"/>
      <c r="E258" s="76"/>
      <c r="F258" s="66" t="str">
        <f aca="false">IF(C258="","",IFERROR(1/(1/INDEX(Clients!$H$6:$H$25,MATCH(C258,Clients!$B$6:$B$25,0))),Settings!$C$10))</f>
        <v/>
      </c>
      <c r="G258" s="77" t="str">
        <f aca="false">IF(OR(B258="",F258=""),"",B258+F258)</f>
        <v/>
      </c>
      <c r="H258" s="65"/>
      <c r="I258" s="76"/>
      <c r="J258" s="51"/>
      <c r="K258" s="73" t="str">
        <f aca="false">IF(E258="","",E258-N(I258))</f>
        <v/>
      </c>
      <c r="L258" s="78" t="str">
        <f aca="true">IF(E258="","",IF(K258&lt;=0,"Paid",IF(AND(G258&lt;&gt;"",TODAY()&gt;G258),"Overdue",IF(N(I258)&gt;0,"Partial","Open"))))</f>
        <v/>
      </c>
      <c r="M258" s="66" t="str">
        <f aca="true">IF(OR(E258="",G258=""),"",IF(K258&lt;=0,IF(H258="","",MAX(0,H258-G258)),MAX(0,TODAY()-G258)))</f>
        <v/>
      </c>
      <c r="N258" s="78" t="str">
        <f aca="true">IF(OR(E258="",G258=""),"",IF(K258&lt;=0,"",IF(TODAY()&lt;=G258,"Not due yet",IF(TODAY()-G258&lt;=30,"1-30 days late",IF(TODAY()-G258&lt;=60,"31-60 days late",IF(TODAY()-G258&lt;=90,"61-90 days late","90+ days late"))))))</f>
        <v/>
      </c>
      <c r="O258" s="66" t="str">
        <f aca="false">IF(OR(H258="",B258="",K258&gt;0),"",H258-B258)</f>
        <v/>
      </c>
    </row>
    <row r="259" customFormat="false" ht="15" hidden="false" customHeight="false" outlineLevel="0" collapsed="false">
      <c r="A259" s="51"/>
      <c r="B259" s="65"/>
      <c r="C259" s="51"/>
      <c r="D259" s="51"/>
      <c r="E259" s="76"/>
      <c r="F259" s="66" t="str">
        <f aca="false">IF(C259="","",IFERROR(1/(1/INDEX(Clients!$H$6:$H$25,MATCH(C259,Clients!$B$6:$B$25,0))),Settings!$C$10))</f>
        <v/>
      </c>
      <c r="G259" s="77" t="str">
        <f aca="false">IF(OR(B259="",F259=""),"",B259+F259)</f>
        <v/>
      </c>
      <c r="H259" s="65"/>
      <c r="I259" s="76"/>
      <c r="J259" s="51"/>
      <c r="K259" s="73" t="str">
        <f aca="false">IF(E259="","",E259-N(I259))</f>
        <v/>
      </c>
      <c r="L259" s="78" t="str">
        <f aca="true">IF(E259="","",IF(K259&lt;=0,"Paid",IF(AND(G259&lt;&gt;"",TODAY()&gt;G259),"Overdue",IF(N(I259)&gt;0,"Partial","Open"))))</f>
        <v/>
      </c>
      <c r="M259" s="66" t="str">
        <f aca="true">IF(OR(E259="",G259=""),"",IF(K259&lt;=0,IF(H259="","",MAX(0,H259-G259)),MAX(0,TODAY()-G259)))</f>
        <v/>
      </c>
      <c r="N259" s="78" t="str">
        <f aca="true">IF(OR(E259="",G259=""),"",IF(K259&lt;=0,"",IF(TODAY()&lt;=G259,"Not due yet",IF(TODAY()-G259&lt;=30,"1-30 days late",IF(TODAY()-G259&lt;=60,"31-60 days late",IF(TODAY()-G259&lt;=90,"61-90 days late","90+ days late"))))))</f>
        <v/>
      </c>
      <c r="O259" s="66" t="str">
        <f aca="false">IF(OR(H259="",B259="",K259&gt;0),"",H259-B259)</f>
        <v/>
      </c>
    </row>
    <row r="260" customFormat="false" ht="15" hidden="false" customHeight="false" outlineLevel="0" collapsed="false">
      <c r="A260" s="51"/>
      <c r="B260" s="65"/>
      <c r="C260" s="51"/>
      <c r="D260" s="51"/>
      <c r="E260" s="76"/>
      <c r="F260" s="66" t="str">
        <f aca="false">IF(C260="","",IFERROR(1/(1/INDEX(Clients!$H$6:$H$25,MATCH(C260,Clients!$B$6:$B$25,0))),Settings!$C$10))</f>
        <v/>
      </c>
      <c r="G260" s="77" t="str">
        <f aca="false">IF(OR(B260="",F260=""),"",B260+F260)</f>
        <v/>
      </c>
      <c r="H260" s="65"/>
      <c r="I260" s="76"/>
      <c r="J260" s="51"/>
      <c r="K260" s="73" t="str">
        <f aca="false">IF(E260="","",E260-N(I260))</f>
        <v/>
      </c>
      <c r="L260" s="78" t="str">
        <f aca="true">IF(E260="","",IF(K260&lt;=0,"Paid",IF(AND(G260&lt;&gt;"",TODAY()&gt;G260),"Overdue",IF(N(I260)&gt;0,"Partial","Open"))))</f>
        <v/>
      </c>
      <c r="M260" s="66" t="str">
        <f aca="true">IF(OR(E260="",G260=""),"",IF(K260&lt;=0,IF(H260="","",MAX(0,H260-G260)),MAX(0,TODAY()-G260)))</f>
        <v/>
      </c>
      <c r="N260" s="78" t="str">
        <f aca="true">IF(OR(E260="",G260=""),"",IF(K260&lt;=0,"",IF(TODAY()&lt;=G260,"Not due yet",IF(TODAY()-G260&lt;=30,"1-30 days late",IF(TODAY()-G260&lt;=60,"31-60 days late",IF(TODAY()-G260&lt;=90,"61-90 days late","90+ days late"))))))</f>
        <v/>
      </c>
      <c r="O260" s="66" t="str">
        <f aca="false">IF(OR(H260="",B260="",K260&gt;0),"",H260-B260)</f>
        <v/>
      </c>
    </row>
    <row r="261" customFormat="false" ht="15" hidden="false" customHeight="false" outlineLevel="0" collapsed="false">
      <c r="A261" s="51"/>
      <c r="B261" s="65"/>
      <c r="C261" s="51"/>
      <c r="D261" s="51"/>
      <c r="E261" s="76"/>
      <c r="F261" s="66" t="str">
        <f aca="false">IF(C261="","",IFERROR(1/(1/INDEX(Clients!$H$6:$H$25,MATCH(C261,Clients!$B$6:$B$25,0))),Settings!$C$10))</f>
        <v/>
      </c>
      <c r="G261" s="77" t="str">
        <f aca="false">IF(OR(B261="",F261=""),"",B261+F261)</f>
        <v/>
      </c>
      <c r="H261" s="65"/>
      <c r="I261" s="76"/>
      <c r="J261" s="51"/>
      <c r="K261" s="73" t="str">
        <f aca="false">IF(E261="","",E261-N(I261))</f>
        <v/>
      </c>
      <c r="L261" s="78" t="str">
        <f aca="true">IF(E261="","",IF(K261&lt;=0,"Paid",IF(AND(G261&lt;&gt;"",TODAY()&gt;G261),"Overdue",IF(N(I261)&gt;0,"Partial","Open"))))</f>
        <v/>
      </c>
      <c r="M261" s="66" t="str">
        <f aca="true">IF(OR(E261="",G261=""),"",IF(K261&lt;=0,IF(H261="","",MAX(0,H261-G261)),MAX(0,TODAY()-G261)))</f>
        <v/>
      </c>
      <c r="N261" s="78" t="str">
        <f aca="true">IF(OR(E261="",G261=""),"",IF(K261&lt;=0,"",IF(TODAY()&lt;=G261,"Not due yet",IF(TODAY()-G261&lt;=30,"1-30 days late",IF(TODAY()-G261&lt;=60,"31-60 days late",IF(TODAY()-G261&lt;=90,"61-90 days late","90+ days late"))))))</f>
        <v/>
      </c>
      <c r="O261" s="66" t="str">
        <f aca="false">IF(OR(H261="",B261="",K261&gt;0),"",H261-B261)</f>
        <v/>
      </c>
    </row>
    <row r="262" customFormat="false" ht="15" hidden="false" customHeight="false" outlineLevel="0" collapsed="false">
      <c r="A262" s="51"/>
      <c r="B262" s="65"/>
      <c r="C262" s="51"/>
      <c r="D262" s="51"/>
      <c r="E262" s="76"/>
      <c r="F262" s="66" t="str">
        <f aca="false">IF(C262="","",IFERROR(1/(1/INDEX(Clients!$H$6:$H$25,MATCH(C262,Clients!$B$6:$B$25,0))),Settings!$C$10))</f>
        <v/>
      </c>
      <c r="G262" s="77" t="str">
        <f aca="false">IF(OR(B262="",F262=""),"",B262+F262)</f>
        <v/>
      </c>
      <c r="H262" s="65"/>
      <c r="I262" s="76"/>
      <c r="J262" s="51"/>
      <c r="K262" s="73" t="str">
        <f aca="false">IF(E262="","",E262-N(I262))</f>
        <v/>
      </c>
      <c r="L262" s="78" t="str">
        <f aca="true">IF(E262="","",IF(K262&lt;=0,"Paid",IF(AND(G262&lt;&gt;"",TODAY()&gt;G262),"Overdue",IF(N(I262)&gt;0,"Partial","Open"))))</f>
        <v/>
      </c>
      <c r="M262" s="66" t="str">
        <f aca="true">IF(OR(E262="",G262=""),"",IF(K262&lt;=0,IF(H262="","",MAX(0,H262-G262)),MAX(0,TODAY()-G262)))</f>
        <v/>
      </c>
      <c r="N262" s="78" t="str">
        <f aca="true">IF(OR(E262="",G262=""),"",IF(K262&lt;=0,"",IF(TODAY()&lt;=G262,"Not due yet",IF(TODAY()-G262&lt;=30,"1-30 days late",IF(TODAY()-G262&lt;=60,"31-60 days late",IF(TODAY()-G262&lt;=90,"61-90 days late","90+ days late"))))))</f>
        <v/>
      </c>
      <c r="O262" s="66" t="str">
        <f aca="false">IF(OR(H262="",B262="",K262&gt;0),"",H262-B262)</f>
        <v/>
      </c>
    </row>
    <row r="263" customFormat="false" ht="15" hidden="false" customHeight="false" outlineLevel="0" collapsed="false">
      <c r="A263" s="51"/>
      <c r="B263" s="65"/>
      <c r="C263" s="51"/>
      <c r="D263" s="51"/>
      <c r="E263" s="76"/>
      <c r="F263" s="66" t="str">
        <f aca="false">IF(C263="","",IFERROR(1/(1/INDEX(Clients!$H$6:$H$25,MATCH(C263,Clients!$B$6:$B$25,0))),Settings!$C$10))</f>
        <v/>
      </c>
      <c r="G263" s="77" t="str">
        <f aca="false">IF(OR(B263="",F263=""),"",B263+F263)</f>
        <v/>
      </c>
      <c r="H263" s="65"/>
      <c r="I263" s="76"/>
      <c r="J263" s="51"/>
      <c r="K263" s="73" t="str">
        <f aca="false">IF(E263="","",E263-N(I263))</f>
        <v/>
      </c>
      <c r="L263" s="78" t="str">
        <f aca="true">IF(E263="","",IF(K263&lt;=0,"Paid",IF(AND(G263&lt;&gt;"",TODAY()&gt;G263),"Overdue",IF(N(I263)&gt;0,"Partial","Open"))))</f>
        <v/>
      </c>
      <c r="M263" s="66" t="str">
        <f aca="true">IF(OR(E263="",G263=""),"",IF(K263&lt;=0,IF(H263="","",MAX(0,H263-G263)),MAX(0,TODAY()-G263)))</f>
        <v/>
      </c>
      <c r="N263" s="78" t="str">
        <f aca="true">IF(OR(E263="",G263=""),"",IF(K263&lt;=0,"",IF(TODAY()&lt;=G263,"Not due yet",IF(TODAY()-G263&lt;=30,"1-30 days late",IF(TODAY()-G263&lt;=60,"31-60 days late",IF(TODAY()-G263&lt;=90,"61-90 days late","90+ days late"))))))</f>
        <v/>
      </c>
      <c r="O263" s="66" t="str">
        <f aca="false">IF(OR(H263="",B263="",K263&gt;0),"",H263-B263)</f>
        <v/>
      </c>
    </row>
    <row r="264" customFormat="false" ht="15" hidden="false" customHeight="false" outlineLevel="0" collapsed="false">
      <c r="A264" s="51"/>
      <c r="B264" s="65"/>
      <c r="C264" s="51"/>
      <c r="D264" s="51"/>
      <c r="E264" s="76"/>
      <c r="F264" s="66" t="str">
        <f aca="false">IF(C264="","",IFERROR(1/(1/INDEX(Clients!$H$6:$H$25,MATCH(C264,Clients!$B$6:$B$25,0))),Settings!$C$10))</f>
        <v/>
      </c>
      <c r="G264" s="77" t="str">
        <f aca="false">IF(OR(B264="",F264=""),"",B264+F264)</f>
        <v/>
      </c>
      <c r="H264" s="65"/>
      <c r="I264" s="76"/>
      <c r="J264" s="51"/>
      <c r="K264" s="73" t="str">
        <f aca="false">IF(E264="","",E264-N(I264))</f>
        <v/>
      </c>
      <c r="L264" s="78" t="str">
        <f aca="true">IF(E264="","",IF(K264&lt;=0,"Paid",IF(AND(G264&lt;&gt;"",TODAY()&gt;G264),"Overdue",IF(N(I264)&gt;0,"Partial","Open"))))</f>
        <v/>
      </c>
      <c r="M264" s="66" t="str">
        <f aca="true">IF(OR(E264="",G264=""),"",IF(K264&lt;=0,IF(H264="","",MAX(0,H264-G264)),MAX(0,TODAY()-G264)))</f>
        <v/>
      </c>
      <c r="N264" s="78" t="str">
        <f aca="true">IF(OR(E264="",G264=""),"",IF(K264&lt;=0,"",IF(TODAY()&lt;=G264,"Not due yet",IF(TODAY()-G264&lt;=30,"1-30 days late",IF(TODAY()-G264&lt;=60,"31-60 days late",IF(TODAY()-G264&lt;=90,"61-90 days late","90+ days late"))))))</f>
        <v/>
      </c>
      <c r="O264" s="66" t="str">
        <f aca="false">IF(OR(H264="",B264="",K264&gt;0),"",H264-B264)</f>
        <v/>
      </c>
    </row>
    <row r="265" customFormat="false" ht="15" hidden="false" customHeight="false" outlineLevel="0" collapsed="false">
      <c r="A265" s="51"/>
      <c r="B265" s="65"/>
      <c r="C265" s="51"/>
      <c r="D265" s="51"/>
      <c r="E265" s="76"/>
      <c r="F265" s="66" t="str">
        <f aca="false">IF(C265="","",IFERROR(1/(1/INDEX(Clients!$H$6:$H$25,MATCH(C265,Clients!$B$6:$B$25,0))),Settings!$C$10))</f>
        <v/>
      </c>
      <c r="G265" s="77" t="str">
        <f aca="false">IF(OR(B265="",F265=""),"",B265+F265)</f>
        <v/>
      </c>
      <c r="H265" s="65"/>
      <c r="I265" s="76"/>
      <c r="J265" s="51"/>
      <c r="K265" s="73" t="str">
        <f aca="false">IF(E265="","",E265-N(I265))</f>
        <v/>
      </c>
      <c r="L265" s="78" t="str">
        <f aca="true">IF(E265="","",IF(K265&lt;=0,"Paid",IF(AND(G265&lt;&gt;"",TODAY()&gt;G265),"Overdue",IF(N(I265)&gt;0,"Partial","Open"))))</f>
        <v/>
      </c>
      <c r="M265" s="66" t="str">
        <f aca="true">IF(OR(E265="",G265=""),"",IF(K265&lt;=0,IF(H265="","",MAX(0,H265-G265)),MAX(0,TODAY()-G265)))</f>
        <v/>
      </c>
      <c r="N265" s="78" t="str">
        <f aca="true">IF(OR(E265="",G265=""),"",IF(K265&lt;=0,"",IF(TODAY()&lt;=G265,"Not due yet",IF(TODAY()-G265&lt;=30,"1-30 days late",IF(TODAY()-G265&lt;=60,"31-60 days late",IF(TODAY()-G265&lt;=90,"61-90 days late","90+ days late"))))))</f>
        <v/>
      </c>
      <c r="O265" s="66" t="str">
        <f aca="false">IF(OR(H265="",B265="",K265&gt;0),"",H265-B265)</f>
        <v/>
      </c>
    </row>
    <row r="266" customFormat="false" ht="15" hidden="false" customHeight="false" outlineLevel="0" collapsed="false">
      <c r="A266" s="51"/>
      <c r="B266" s="65"/>
      <c r="C266" s="51"/>
      <c r="D266" s="51"/>
      <c r="E266" s="76"/>
      <c r="F266" s="66" t="str">
        <f aca="false">IF(C266="","",IFERROR(1/(1/INDEX(Clients!$H$6:$H$25,MATCH(C266,Clients!$B$6:$B$25,0))),Settings!$C$10))</f>
        <v/>
      </c>
      <c r="G266" s="77" t="str">
        <f aca="false">IF(OR(B266="",F266=""),"",B266+F266)</f>
        <v/>
      </c>
      <c r="H266" s="65"/>
      <c r="I266" s="76"/>
      <c r="J266" s="51"/>
      <c r="K266" s="73" t="str">
        <f aca="false">IF(E266="","",E266-N(I266))</f>
        <v/>
      </c>
      <c r="L266" s="78" t="str">
        <f aca="true">IF(E266="","",IF(K266&lt;=0,"Paid",IF(AND(G266&lt;&gt;"",TODAY()&gt;G266),"Overdue",IF(N(I266)&gt;0,"Partial","Open"))))</f>
        <v/>
      </c>
      <c r="M266" s="66" t="str">
        <f aca="true">IF(OR(E266="",G266=""),"",IF(K266&lt;=0,IF(H266="","",MAX(0,H266-G266)),MAX(0,TODAY()-G266)))</f>
        <v/>
      </c>
      <c r="N266" s="78" t="str">
        <f aca="true">IF(OR(E266="",G266=""),"",IF(K266&lt;=0,"",IF(TODAY()&lt;=G266,"Not due yet",IF(TODAY()-G266&lt;=30,"1-30 days late",IF(TODAY()-G266&lt;=60,"31-60 days late",IF(TODAY()-G266&lt;=90,"61-90 days late","90+ days late"))))))</f>
        <v/>
      </c>
      <c r="O266" s="66" t="str">
        <f aca="false">IF(OR(H266="",B266="",K266&gt;0),"",H266-B266)</f>
        <v/>
      </c>
    </row>
    <row r="267" customFormat="false" ht="15" hidden="false" customHeight="false" outlineLevel="0" collapsed="false">
      <c r="A267" s="51"/>
      <c r="B267" s="65"/>
      <c r="C267" s="51"/>
      <c r="D267" s="51"/>
      <c r="E267" s="76"/>
      <c r="F267" s="66" t="str">
        <f aca="false">IF(C267="","",IFERROR(1/(1/INDEX(Clients!$H$6:$H$25,MATCH(C267,Clients!$B$6:$B$25,0))),Settings!$C$10))</f>
        <v/>
      </c>
      <c r="G267" s="77" t="str">
        <f aca="false">IF(OR(B267="",F267=""),"",B267+F267)</f>
        <v/>
      </c>
      <c r="H267" s="65"/>
      <c r="I267" s="76"/>
      <c r="J267" s="51"/>
      <c r="K267" s="73" t="str">
        <f aca="false">IF(E267="","",E267-N(I267))</f>
        <v/>
      </c>
      <c r="L267" s="78" t="str">
        <f aca="true">IF(E267="","",IF(K267&lt;=0,"Paid",IF(AND(G267&lt;&gt;"",TODAY()&gt;G267),"Overdue",IF(N(I267)&gt;0,"Partial","Open"))))</f>
        <v/>
      </c>
      <c r="M267" s="66" t="str">
        <f aca="true">IF(OR(E267="",G267=""),"",IF(K267&lt;=0,IF(H267="","",MAX(0,H267-G267)),MAX(0,TODAY()-G267)))</f>
        <v/>
      </c>
      <c r="N267" s="78" t="str">
        <f aca="true">IF(OR(E267="",G267=""),"",IF(K267&lt;=0,"",IF(TODAY()&lt;=G267,"Not due yet",IF(TODAY()-G267&lt;=30,"1-30 days late",IF(TODAY()-G267&lt;=60,"31-60 days late",IF(TODAY()-G267&lt;=90,"61-90 days late","90+ days late"))))))</f>
        <v/>
      </c>
      <c r="O267" s="66" t="str">
        <f aca="false">IF(OR(H267="",B267="",K267&gt;0),"",H267-B267)</f>
        <v/>
      </c>
    </row>
    <row r="268" customFormat="false" ht="15" hidden="false" customHeight="false" outlineLevel="0" collapsed="false">
      <c r="A268" s="51"/>
      <c r="B268" s="65"/>
      <c r="C268" s="51"/>
      <c r="D268" s="51"/>
      <c r="E268" s="76"/>
      <c r="F268" s="66" t="str">
        <f aca="false">IF(C268="","",IFERROR(1/(1/INDEX(Clients!$H$6:$H$25,MATCH(C268,Clients!$B$6:$B$25,0))),Settings!$C$10))</f>
        <v/>
      </c>
      <c r="G268" s="77" t="str">
        <f aca="false">IF(OR(B268="",F268=""),"",B268+F268)</f>
        <v/>
      </c>
      <c r="H268" s="65"/>
      <c r="I268" s="76"/>
      <c r="J268" s="51"/>
      <c r="K268" s="73" t="str">
        <f aca="false">IF(E268="","",E268-N(I268))</f>
        <v/>
      </c>
      <c r="L268" s="78" t="str">
        <f aca="true">IF(E268="","",IF(K268&lt;=0,"Paid",IF(AND(G268&lt;&gt;"",TODAY()&gt;G268),"Overdue",IF(N(I268)&gt;0,"Partial","Open"))))</f>
        <v/>
      </c>
      <c r="M268" s="66" t="str">
        <f aca="true">IF(OR(E268="",G268=""),"",IF(K268&lt;=0,IF(H268="","",MAX(0,H268-G268)),MAX(0,TODAY()-G268)))</f>
        <v/>
      </c>
      <c r="N268" s="78" t="str">
        <f aca="true">IF(OR(E268="",G268=""),"",IF(K268&lt;=0,"",IF(TODAY()&lt;=G268,"Not due yet",IF(TODAY()-G268&lt;=30,"1-30 days late",IF(TODAY()-G268&lt;=60,"31-60 days late",IF(TODAY()-G268&lt;=90,"61-90 days late","90+ days late"))))))</f>
        <v/>
      </c>
      <c r="O268" s="66" t="str">
        <f aca="false">IF(OR(H268="",B268="",K268&gt;0),"",H268-B268)</f>
        <v/>
      </c>
    </row>
    <row r="269" customFormat="false" ht="15" hidden="false" customHeight="false" outlineLevel="0" collapsed="false">
      <c r="A269" s="51"/>
      <c r="B269" s="65"/>
      <c r="C269" s="51"/>
      <c r="D269" s="51"/>
      <c r="E269" s="76"/>
      <c r="F269" s="66" t="str">
        <f aca="false">IF(C269="","",IFERROR(1/(1/INDEX(Clients!$H$6:$H$25,MATCH(C269,Clients!$B$6:$B$25,0))),Settings!$C$10))</f>
        <v/>
      </c>
      <c r="G269" s="77" t="str">
        <f aca="false">IF(OR(B269="",F269=""),"",B269+F269)</f>
        <v/>
      </c>
      <c r="H269" s="65"/>
      <c r="I269" s="76"/>
      <c r="J269" s="51"/>
      <c r="K269" s="73" t="str">
        <f aca="false">IF(E269="","",E269-N(I269))</f>
        <v/>
      </c>
      <c r="L269" s="78" t="str">
        <f aca="true">IF(E269="","",IF(K269&lt;=0,"Paid",IF(AND(G269&lt;&gt;"",TODAY()&gt;G269),"Overdue",IF(N(I269)&gt;0,"Partial","Open"))))</f>
        <v/>
      </c>
      <c r="M269" s="66" t="str">
        <f aca="true">IF(OR(E269="",G269=""),"",IF(K269&lt;=0,IF(H269="","",MAX(0,H269-G269)),MAX(0,TODAY()-G269)))</f>
        <v/>
      </c>
      <c r="N269" s="78" t="str">
        <f aca="true">IF(OR(E269="",G269=""),"",IF(K269&lt;=0,"",IF(TODAY()&lt;=G269,"Not due yet",IF(TODAY()-G269&lt;=30,"1-30 days late",IF(TODAY()-G269&lt;=60,"31-60 days late",IF(TODAY()-G269&lt;=90,"61-90 days late","90+ days late"))))))</f>
        <v/>
      </c>
      <c r="O269" s="66" t="str">
        <f aca="false">IF(OR(H269="",B269="",K269&gt;0),"",H269-B269)</f>
        <v/>
      </c>
    </row>
    <row r="270" customFormat="false" ht="15" hidden="false" customHeight="false" outlineLevel="0" collapsed="false">
      <c r="A270" s="51"/>
      <c r="B270" s="65"/>
      <c r="C270" s="51"/>
      <c r="D270" s="51"/>
      <c r="E270" s="76"/>
      <c r="F270" s="66" t="str">
        <f aca="false">IF(C270="","",IFERROR(1/(1/INDEX(Clients!$H$6:$H$25,MATCH(C270,Clients!$B$6:$B$25,0))),Settings!$C$10))</f>
        <v/>
      </c>
      <c r="G270" s="77" t="str">
        <f aca="false">IF(OR(B270="",F270=""),"",B270+F270)</f>
        <v/>
      </c>
      <c r="H270" s="65"/>
      <c r="I270" s="76"/>
      <c r="J270" s="51"/>
      <c r="K270" s="73" t="str">
        <f aca="false">IF(E270="","",E270-N(I270))</f>
        <v/>
      </c>
      <c r="L270" s="78" t="str">
        <f aca="true">IF(E270="","",IF(K270&lt;=0,"Paid",IF(AND(G270&lt;&gt;"",TODAY()&gt;G270),"Overdue",IF(N(I270)&gt;0,"Partial","Open"))))</f>
        <v/>
      </c>
      <c r="M270" s="66" t="str">
        <f aca="true">IF(OR(E270="",G270=""),"",IF(K270&lt;=0,IF(H270="","",MAX(0,H270-G270)),MAX(0,TODAY()-G270)))</f>
        <v/>
      </c>
      <c r="N270" s="78" t="str">
        <f aca="true">IF(OR(E270="",G270=""),"",IF(K270&lt;=0,"",IF(TODAY()&lt;=G270,"Not due yet",IF(TODAY()-G270&lt;=30,"1-30 days late",IF(TODAY()-G270&lt;=60,"31-60 days late",IF(TODAY()-G270&lt;=90,"61-90 days late","90+ days late"))))))</f>
        <v/>
      </c>
      <c r="O270" s="66" t="str">
        <f aca="false">IF(OR(H270="",B270="",K270&gt;0),"",H270-B270)</f>
        <v/>
      </c>
    </row>
    <row r="271" customFormat="false" ht="15" hidden="false" customHeight="false" outlineLevel="0" collapsed="false">
      <c r="A271" s="51"/>
      <c r="B271" s="65"/>
      <c r="C271" s="51"/>
      <c r="D271" s="51"/>
      <c r="E271" s="76"/>
      <c r="F271" s="66" t="str">
        <f aca="false">IF(C271="","",IFERROR(1/(1/INDEX(Clients!$H$6:$H$25,MATCH(C271,Clients!$B$6:$B$25,0))),Settings!$C$10))</f>
        <v/>
      </c>
      <c r="G271" s="77" t="str">
        <f aca="false">IF(OR(B271="",F271=""),"",B271+F271)</f>
        <v/>
      </c>
      <c r="H271" s="65"/>
      <c r="I271" s="76"/>
      <c r="J271" s="51"/>
      <c r="K271" s="73" t="str">
        <f aca="false">IF(E271="","",E271-N(I271))</f>
        <v/>
      </c>
      <c r="L271" s="78" t="str">
        <f aca="true">IF(E271="","",IF(K271&lt;=0,"Paid",IF(AND(G271&lt;&gt;"",TODAY()&gt;G271),"Overdue",IF(N(I271)&gt;0,"Partial","Open"))))</f>
        <v/>
      </c>
      <c r="M271" s="66" t="str">
        <f aca="true">IF(OR(E271="",G271=""),"",IF(K271&lt;=0,IF(H271="","",MAX(0,H271-G271)),MAX(0,TODAY()-G271)))</f>
        <v/>
      </c>
      <c r="N271" s="78" t="str">
        <f aca="true">IF(OR(E271="",G271=""),"",IF(K271&lt;=0,"",IF(TODAY()&lt;=G271,"Not due yet",IF(TODAY()-G271&lt;=30,"1-30 days late",IF(TODAY()-G271&lt;=60,"31-60 days late",IF(TODAY()-G271&lt;=90,"61-90 days late","90+ days late"))))))</f>
        <v/>
      </c>
      <c r="O271" s="66" t="str">
        <f aca="false">IF(OR(H271="",B271="",K271&gt;0),"",H271-B271)</f>
        <v/>
      </c>
    </row>
    <row r="272" customFormat="false" ht="15" hidden="false" customHeight="false" outlineLevel="0" collapsed="false">
      <c r="A272" s="51"/>
      <c r="B272" s="65"/>
      <c r="C272" s="51"/>
      <c r="D272" s="51"/>
      <c r="E272" s="76"/>
      <c r="F272" s="66" t="str">
        <f aca="false">IF(C272="","",IFERROR(1/(1/INDEX(Clients!$H$6:$H$25,MATCH(C272,Clients!$B$6:$B$25,0))),Settings!$C$10))</f>
        <v/>
      </c>
      <c r="G272" s="77" t="str">
        <f aca="false">IF(OR(B272="",F272=""),"",B272+F272)</f>
        <v/>
      </c>
      <c r="H272" s="65"/>
      <c r="I272" s="76"/>
      <c r="J272" s="51"/>
      <c r="K272" s="73" t="str">
        <f aca="false">IF(E272="","",E272-N(I272))</f>
        <v/>
      </c>
      <c r="L272" s="78" t="str">
        <f aca="true">IF(E272="","",IF(K272&lt;=0,"Paid",IF(AND(G272&lt;&gt;"",TODAY()&gt;G272),"Overdue",IF(N(I272)&gt;0,"Partial","Open"))))</f>
        <v/>
      </c>
      <c r="M272" s="66" t="str">
        <f aca="true">IF(OR(E272="",G272=""),"",IF(K272&lt;=0,IF(H272="","",MAX(0,H272-G272)),MAX(0,TODAY()-G272)))</f>
        <v/>
      </c>
      <c r="N272" s="78" t="str">
        <f aca="true">IF(OR(E272="",G272=""),"",IF(K272&lt;=0,"",IF(TODAY()&lt;=G272,"Not due yet",IF(TODAY()-G272&lt;=30,"1-30 days late",IF(TODAY()-G272&lt;=60,"31-60 days late",IF(TODAY()-G272&lt;=90,"61-90 days late","90+ days late"))))))</f>
        <v/>
      </c>
      <c r="O272" s="66" t="str">
        <f aca="false">IF(OR(H272="",B272="",K272&gt;0),"",H272-B272)</f>
        <v/>
      </c>
    </row>
    <row r="273" customFormat="false" ht="15" hidden="false" customHeight="false" outlineLevel="0" collapsed="false">
      <c r="A273" s="51"/>
      <c r="B273" s="65"/>
      <c r="C273" s="51"/>
      <c r="D273" s="51"/>
      <c r="E273" s="76"/>
      <c r="F273" s="66" t="str">
        <f aca="false">IF(C273="","",IFERROR(1/(1/INDEX(Clients!$H$6:$H$25,MATCH(C273,Clients!$B$6:$B$25,0))),Settings!$C$10))</f>
        <v/>
      </c>
      <c r="G273" s="77" t="str">
        <f aca="false">IF(OR(B273="",F273=""),"",B273+F273)</f>
        <v/>
      </c>
      <c r="H273" s="65"/>
      <c r="I273" s="76"/>
      <c r="J273" s="51"/>
      <c r="K273" s="73" t="str">
        <f aca="false">IF(E273="","",E273-N(I273))</f>
        <v/>
      </c>
      <c r="L273" s="78" t="str">
        <f aca="true">IF(E273="","",IF(K273&lt;=0,"Paid",IF(AND(G273&lt;&gt;"",TODAY()&gt;G273),"Overdue",IF(N(I273)&gt;0,"Partial","Open"))))</f>
        <v/>
      </c>
      <c r="M273" s="66" t="str">
        <f aca="true">IF(OR(E273="",G273=""),"",IF(K273&lt;=0,IF(H273="","",MAX(0,H273-G273)),MAX(0,TODAY()-G273)))</f>
        <v/>
      </c>
      <c r="N273" s="78" t="str">
        <f aca="true">IF(OR(E273="",G273=""),"",IF(K273&lt;=0,"",IF(TODAY()&lt;=G273,"Not due yet",IF(TODAY()-G273&lt;=30,"1-30 days late",IF(TODAY()-G273&lt;=60,"31-60 days late",IF(TODAY()-G273&lt;=90,"61-90 days late","90+ days late"))))))</f>
        <v/>
      </c>
      <c r="O273" s="66" t="str">
        <f aca="false">IF(OR(H273="",B273="",K273&gt;0),"",H273-B273)</f>
        <v/>
      </c>
    </row>
    <row r="274" customFormat="false" ht="15" hidden="false" customHeight="false" outlineLevel="0" collapsed="false">
      <c r="A274" s="51"/>
      <c r="B274" s="65"/>
      <c r="C274" s="51"/>
      <c r="D274" s="51"/>
      <c r="E274" s="76"/>
      <c r="F274" s="66" t="str">
        <f aca="false">IF(C274="","",IFERROR(1/(1/INDEX(Clients!$H$6:$H$25,MATCH(C274,Clients!$B$6:$B$25,0))),Settings!$C$10))</f>
        <v/>
      </c>
      <c r="G274" s="77" t="str">
        <f aca="false">IF(OR(B274="",F274=""),"",B274+F274)</f>
        <v/>
      </c>
      <c r="H274" s="65"/>
      <c r="I274" s="76"/>
      <c r="J274" s="51"/>
      <c r="K274" s="73" t="str">
        <f aca="false">IF(E274="","",E274-N(I274))</f>
        <v/>
      </c>
      <c r="L274" s="78" t="str">
        <f aca="true">IF(E274="","",IF(K274&lt;=0,"Paid",IF(AND(G274&lt;&gt;"",TODAY()&gt;G274),"Overdue",IF(N(I274)&gt;0,"Partial","Open"))))</f>
        <v/>
      </c>
      <c r="M274" s="66" t="str">
        <f aca="true">IF(OR(E274="",G274=""),"",IF(K274&lt;=0,IF(H274="","",MAX(0,H274-G274)),MAX(0,TODAY()-G274)))</f>
        <v/>
      </c>
      <c r="N274" s="78" t="str">
        <f aca="true">IF(OR(E274="",G274=""),"",IF(K274&lt;=0,"",IF(TODAY()&lt;=G274,"Not due yet",IF(TODAY()-G274&lt;=30,"1-30 days late",IF(TODAY()-G274&lt;=60,"31-60 days late",IF(TODAY()-G274&lt;=90,"61-90 days late","90+ days late"))))))</f>
        <v/>
      </c>
      <c r="O274" s="66" t="str">
        <f aca="false">IF(OR(H274="",B274="",K274&gt;0),"",H274-B274)</f>
        <v/>
      </c>
    </row>
    <row r="275" customFormat="false" ht="15" hidden="false" customHeight="false" outlineLevel="0" collapsed="false">
      <c r="A275" s="51"/>
      <c r="B275" s="65"/>
      <c r="C275" s="51"/>
      <c r="D275" s="51"/>
      <c r="E275" s="76"/>
      <c r="F275" s="66" t="str">
        <f aca="false">IF(C275="","",IFERROR(1/(1/INDEX(Clients!$H$6:$H$25,MATCH(C275,Clients!$B$6:$B$25,0))),Settings!$C$10))</f>
        <v/>
      </c>
      <c r="G275" s="77" t="str">
        <f aca="false">IF(OR(B275="",F275=""),"",B275+F275)</f>
        <v/>
      </c>
      <c r="H275" s="65"/>
      <c r="I275" s="76"/>
      <c r="J275" s="51"/>
      <c r="K275" s="73" t="str">
        <f aca="false">IF(E275="","",E275-N(I275))</f>
        <v/>
      </c>
      <c r="L275" s="78" t="str">
        <f aca="true">IF(E275="","",IF(K275&lt;=0,"Paid",IF(AND(G275&lt;&gt;"",TODAY()&gt;G275),"Overdue",IF(N(I275)&gt;0,"Partial","Open"))))</f>
        <v/>
      </c>
      <c r="M275" s="66" t="str">
        <f aca="true">IF(OR(E275="",G275=""),"",IF(K275&lt;=0,IF(H275="","",MAX(0,H275-G275)),MAX(0,TODAY()-G275)))</f>
        <v/>
      </c>
      <c r="N275" s="78" t="str">
        <f aca="true">IF(OR(E275="",G275=""),"",IF(K275&lt;=0,"",IF(TODAY()&lt;=G275,"Not due yet",IF(TODAY()-G275&lt;=30,"1-30 days late",IF(TODAY()-G275&lt;=60,"31-60 days late",IF(TODAY()-G275&lt;=90,"61-90 days late","90+ days late"))))))</f>
        <v/>
      </c>
      <c r="O275" s="66" t="str">
        <f aca="false">IF(OR(H275="",B275="",K275&gt;0),"",H275-B275)</f>
        <v/>
      </c>
    </row>
    <row r="276" customFormat="false" ht="15" hidden="false" customHeight="false" outlineLevel="0" collapsed="false">
      <c r="A276" s="51"/>
      <c r="B276" s="65"/>
      <c r="C276" s="51"/>
      <c r="D276" s="51"/>
      <c r="E276" s="76"/>
      <c r="F276" s="66" t="str">
        <f aca="false">IF(C276="","",IFERROR(1/(1/INDEX(Clients!$H$6:$H$25,MATCH(C276,Clients!$B$6:$B$25,0))),Settings!$C$10))</f>
        <v/>
      </c>
      <c r="G276" s="77" t="str">
        <f aca="false">IF(OR(B276="",F276=""),"",B276+F276)</f>
        <v/>
      </c>
      <c r="H276" s="65"/>
      <c r="I276" s="76"/>
      <c r="J276" s="51"/>
      <c r="K276" s="73" t="str">
        <f aca="false">IF(E276="","",E276-N(I276))</f>
        <v/>
      </c>
      <c r="L276" s="78" t="str">
        <f aca="true">IF(E276="","",IF(K276&lt;=0,"Paid",IF(AND(G276&lt;&gt;"",TODAY()&gt;G276),"Overdue",IF(N(I276)&gt;0,"Partial","Open"))))</f>
        <v/>
      </c>
      <c r="M276" s="66" t="str">
        <f aca="true">IF(OR(E276="",G276=""),"",IF(K276&lt;=0,IF(H276="","",MAX(0,H276-G276)),MAX(0,TODAY()-G276)))</f>
        <v/>
      </c>
      <c r="N276" s="78" t="str">
        <f aca="true">IF(OR(E276="",G276=""),"",IF(K276&lt;=0,"",IF(TODAY()&lt;=G276,"Not due yet",IF(TODAY()-G276&lt;=30,"1-30 days late",IF(TODAY()-G276&lt;=60,"31-60 days late",IF(TODAY()-G276&lt;=90,"61-90 days late","90+ days late"))))))</f>
        <v/>
      </c>
      <c r="O276" s="66" t="str">
        <f aca="false">IF(OR(H276="",B276="",K276&gt;0),"",H276-B276)</f>
        <v/>
      </c>
    </row>
    <row r="277" customFormat="false" ht="15" hidden="false" customHeight="false" outlineLevel="0" collapsed="false">
      <c r="A277" s="51"/>
      <c r="B277" s="65"/>
      <c r="C277" s="51"/>
      <c r="D277" s="51"/>
      <c r="E277" s="76"/>
      <c r="F277" s="66" t="str">
        <f aca="false">IF(C277="","",IFERROR(1/(1/INDEX(Clients!$H$6:$H$25,MATCH(C277,Clients!$B$6:$B$25,0))),Settings!$C$10))</f>
        <v/>
      </c>
      <c r="G277" s="77" t="str">
        <f aca="false">IF(OR(B277="",F277=""),"",B277+F277)</f>
        <v/>
      </c>
      <c r="H277" s="65"/>
      <c r="I277" s="76"/>
      <c r="J277" s="51"/>
      <c r="K277" s="73" t="str">
        <f aca="false">IF(E277="","",E277-N(I277))</f>
        <v/>
      </c>
      <c r="L277" s="78" t="str">
        <f aca="true">IF(E277="","",IF(K277&lt;=0,"Paid",IF(AND(G277&lt;&gt;"",TODAY()&gt;G277),"Overdue",IF(N(I277)&gt;0,"Partial","Open"))))</f>
        <v/>
      </c>
      <c r="M277" s="66" t="str">
        <f aca="true">IF(OR(E277="",G277=""),"",IF(K277&lt;=0,IF(H277="","",MAX(0,H277-G277)),MAX(0,TODAY()-G277)))</f>
        <v/>
      </c>
      <c r="N277" s="78" t="str">
        <f aca="true">IF(OR(E277="",G277=""),"",IF(K277&lt;=0,"",IF(TODAY()&lt;=G277,"Not due yet",IF(TODAY()-G277&lt;=30,"1-30 days late",IF(TODAY()-G277&lt;=60,"31-60 days late",IF(TODAY()-G277&lt;=90,"61-90 days late","90+ days late"))))))</f>
        <v/>
      </c>
      <c r="O277" s="66" t="str">
        <f aca="false">IF(OR(H277="",B277="",K277&gt;0),"",H277-B277)</f>
        <v/>
      </c>
    </row>
    <row r="278" customFormat="false" ht="15" hidden="false" customHeight="false" outlineLevel="0" collapsed="false">
      <c r="A278" s="51"/>
      <c r="B278" s="65"/>
      <c r="C278" s="51"/>
      <c r="D278" s="51"/>
      <c r="E278" s="76"/>
      <c r="F278" s="66" t="str">
        <f aca="false">IF(C278="","",IFERROR(1/(1/INDEX(Clients!$H$6:$H$25,MATCH(C278,Clients!$B$6:$B$25,0))),Settings!$C$10))</f>
        <v/>
      </c>
      <c r="G278" s="77" t="str">
        <f aca="false">IF(OR(B278="",F278=""),"",B278+F278)</f>
        <v/>
      </c>
      <c r="H278" s="65"/>
      <c r="I278" s="76"/>
      <c r="J278" s="51"/>
      <c r="K278" s="73" t="str">
        <f aca="false">IF(E278="","",E278-N(I278))</f>
        <v/>
      </c>
      <c r="L278" s="78" t="str">
        <f aca="true">IF(E278="","",IF(K278&lt;=0,"Paid",IF(AND(G278&lt;&gt;"",TODAY()&gt;G278),"Overdue",IF(N(I278)&gt;0,"Partial","Open"))))</f>
        <v/>
      </c>
      <c r="M278" s="66" t="str">
        <f aca="true">IF(OR(E278="",G278=""),"",IF(K278&lt;=0,IF(H278="","",MAX(0,H278-G278)),MAX(0,TODAY()-G278)))</f>
        <v/>
      </c>
      <c r="N278" s="78" t="str">
        <f aca="true">IF(OR(E278="",G278=""),"",IF(K278&lt;=0,"",IF(TODAY()&lt;=G278,"Not due yet",IF(TODAY()-G278&lt;=30,"1-30 days late",IF(TODAY()-G278&lt;=60,"31-60 days late",IF(TODAY()-G278&lt;=90,"61-90 days late","90+ days late"))))))</f>
        <v/>
      </c>
      <c r="O278" s="66" t="str">
        <f aca="false">IF(OR(H278="",B278="",K278&gt;0),"",H278-B278)</f>
        <v/>
      </c>
    </row>
    <row r="279" customFormat="false" ht="15" hidden="false" customHeight="false" outlineLevel="0" collapsed="false">
      <c r="A279" s="51"/>
      <c r="B279" s="65"/>
      <c r="C279" s="51"/>
      <c r="D279" s="51"/>
      <c r="E279" s="76"/>
      <c r="F279" s="66" t="str">
        <f aca="false">IF(C279="","",IFERROR(1/(1/INDEX(Clients!$H$6:$H$25,MATCH(C279,Clients!$B$6:$B$25,0))),Settings!$C$10))</f>
        <v/>
      </c>
      <c r="G279" s="77" t="str">
        <f aca="false">IF(OR(B279="",F279=""),"",B279+F279)</f>
        <v/>
      </c>
      <c r="H279" s="65"/>
      <c r="I279" s="76"/>
      <c r="J279" s="51"/>
      <c r="K279" s="73" t="str">
        <f aca="false">IF(E279="","",E279-N(I279))</f>
        <v/>
      </c>
      <c r="L279" s="78" t="str">
        <f aca="true">IF(E279="","",IF(K279&lt;=0,"Paid",IF(AND(G279&lt;&gt;"",TODAY()&gt;G279),"Overdue",IF(N(I279)&gt;0,"Partial","Open"))))</f>
        <v/>
      </c>
      <c r="M279" s="66" t="str">
        <f aca="true">IF(OR(E279="",G279=""),"",IF(K279&lt;=0,IF(H279="","",MAX(0,H279-G279)),MAX(0,TODAY()-G279)))</f>
        <v/>
      </c>
      <c r="N279" s="78" t="str">
        <f aca="true">IF(OR(E279="",G279=""),"",IF(K279&lt;=0,"",IF(TODAY()&lt;=G279,"Not due yet",IF(TODAY()-G279&lt;=30,"1-30 days late",IF(TODAY()-G279&lt;=60,"31-60 days late",IF(TODAY()-G279&lt;=90,"61-90 days late","90+ days late"))))))</f>
        <v/>
      </c>
      <c r="O279" s="66" t="str">
        <f aca="false">IF(OR(H279="",B279="",K279&gt;0),"",H279-B279)</f>
        <v/>
      </c>
    </row>
    <row r="280" customFormat="false" ht="15" hidden="false" customHeight="false" outlineLevel="0" collapsed="false">
      <c r="A280" s="51"/>
      <c r="B280" s="65"/>
      <c r="C280" s="51"/>
      <c r="D280" s="51"/>
      <c r="E280" s="76"/>
      <c r="F280" s="66" t="str">
        <f aca="false">IF(C280="","",IFERROR(1/(1/INDEX(Clients!$H$6:$H$25,MATCH(C280,Clients!$B$6:$B$25,0))),Settings!$C$10))</f>
        <v/>
      </c>
      <c r="G280" s="77" t="str">
        <f aca="false">IF(OR(B280="",F280=""),"",B280+F280)</f>
        <v/>
      </c>
      <c r="H280" s="65"/>
      <c r="I280" s="76"/>
      <c r="J280" s="51"/>
      <c r="K280" s="73" t="str">
        <f aca="false">IF(E280="","",E280-N(I280))</f>
        <v/>
      </c>
      <c r="L280" s="78" t="str">
        <f aca="true">IF(E280="","",IF(K280&lt;=0,"Paid",IF(AND(G280&lt;&gt;"",TODAY()&gt;G280),"Overdue",IF(N(I280)&gt;0,"Partial","Open"))))</f>
        <v/>
      </c>
      <c r="M280" s="66" t="str">
        <f aca="true">IF(OR(E280="",G280=""),"",IF(K280&lt;=0,IF(H280="","",MAX(0,H280-G280)),MAX(0,TODAY()-G280)))</f>
        <v/>
      </c>
      <c r="N280" s="78" t="str">
        <f aca="true">IF(OR(E280="",G280=""),"",IF(K280&lt;=0,"",IF(TODAY()&lt;=G280,"Not due yet",IF(TODAY()-G280&lt;=30,"1-30 days late",IF(TODAY()-G280&lt;=60,"31-60 days late",IF(TODAY()-G280&lt;=90,"61-90 days late","90+ days late"))))))</f>
        <v/>
      </c>
      <c r="O280" s="66" t="str">
        <f aca="false">IF(OR(H280="",B280="",K280&gt;0),"",H280-B280)</f>
        <v/>
      </c>
    </row>
    <row r="281" customFormat="false" ht="15" hidden="false" customHeight="false" outlineLevel="0" collapsed="false">
      <c r="A281" s="51"/>
      <c r="B281" s="65"/>
      <c r="C281" s="51"/>
      <c r="D281" s="51"/>
      <c r="E281" s="76"/>
      <c r="F281" s="66" t="str">
        <f aca="false">IF(C281="","",IFERROR(1/(1/INDEX(Clients!$H$6:$H$25,MATCH(C281,Clients!$B$6:$B$25,0))),Settings!$C$10))</f>
        <v/>
      </c>
      <c r="G281" s="77" t="str">
        <f aca="false">IF(OR(B281="",F281=""),"",B281+F281)</f>
        <v/>
      </c>
      <c r="H281" s="65"/>
      <c r="I281" s="76"/>
      <c r="J281" s="51"/>
      <c r="K281" s="73" t="str">
        <f aca="false">IF(E281="","",E281-N(I281))</f>
        <v/>
      </c>
      <c r="L281" s="78" t="str">
        <f aca="true">IF(E281="","",IF(K281&lt;=0,"Paid",IF(AND(G281&lt;&gt;"",TODAY()&gt;G281),"Overdue",IF(N(I281)&gt;0,"Partial","Open"))))</f>
        <v/>
      </c>
      <c r="M281" s="66" t="str">
        <f aca="true">IF(OR(E281="",G281=""),"",IF(K281&lt;=0,IF(H281="","",MAX(0,H281-G281)),MAX(0,TODAY()-G281)))</f>
        <v/>
      </c>
      <c r="N281" s="78" t="str">
        <f aca="true">IF(OR(E281="",G281=""),"",IF(K281&lt;=0,"",IF(TODAY()&lt;=G281,"Not due yet",IF(TODAY()-G281&lt;=30,"1-30 days late",IF(TODAY()-G281&lt;=60,"31-60 days late",IF(TODAY()-G281&lt;=90,"61-90 days late","90+ days late"))))))</f>
        <v/>
      </c>
      <c r="O281" s="66" t="str">
        <f aca="false">IF(OR(H281="",B281="",K281&gt;0),"",H281-B281)</f>
        <v/>
      </c>
    </row>
    <row r="282" customFormat="false" ht="15" hidden="false" customHeight="false" outlineLevel="0" collapsed="false">
      <c r="A282" s="51"/>
      <c r="B282" s="65"/>
      <c r="C282" s="51"/>
      <c r="D282" s="51"/>
      <c r="E282" s="76"/>
      <c r="F282" s="66" t="str">
        <f aca="false">IF(C282="","",IFERROR(1/(1/INDEX(Clients!$H$6:$H$25,MATCH(C282,Clients!$B$6:$B$25,0))),Settings!$C$10))</f>
        <v/>
      </c>
      <c r="G282" s="77" t="str">
        <f aca="false">IF(OR(B282="",F282=""),"",B282+F282)</f>
        <v/>
      </c>
      <c r="H282" s="65"/>
      <c r="I282" s="76"/>
      <c r="J282" s="51"/>
      <c r="K282" s="73" t="str">
        <f aca="false">IF(E282="","",E282-N(I282))</f>
        <v/>
      </c>
      <c r="L282" s="78" t="str">
        <f aca="true">IF(E282="","",IF(K282&lt;=0,"Paid",IF(AND(G282&lt;&gt;"",TODAY()&gt;G282),"Overdue",IF(N(I282)&gt;0,"Partial","Open"))))</f>
        <v/>
      </c>
      <c r="M282" s="66" t="str">
        <f aca="true">IF(OR(E282="",G282=""),"",IF(K282&lt;=0,IF(H282="","",MAX(0,H282-G282)),MAX(0,TODAY()-G282)))</f>
        <v/>
      </c>
      <c r="N282" s="78" t="str">
        <f aca="true">IF(OR(E282="",G282=""),"",IF(K282&lt;=0,"",IF(TODAY()&lt;=G282,"Not due yet",IF(TODAY()-G282&lt;=30,"1-30 days late",IF(TODAY()-G282&lt;=60,"31-60 days late",IF(TODAY()-G282&lt;=90,"61-90 days late","90+ days late"))))))</f>
        <v/>
      </c>
      <c r="O282" s="66" t="str">
        <f aca="false">IF(OR(H282="",B282="",K282&gt;0),"",H282-B282)</f>
        <v/>
      </c>
    </row>
    <row r="283" customFormat="false" ht="15" hidden="false" customHeight="false" outlineLevel="0" collapsed="false">
      <c r="A283" s="51"/>
      <c r="B283" s="65"/>
      <c r="C283" s="51"/>
      <c r="D283" s="51"/>
      <c r="E283" s="76"/>
      <c r="F283" s="66" t="str">
        <f aca="false">IF(C283="","",IFERROR(1/(1/INDEX(Clients!$H$6:$H$25,MATCH(C283,Clients!$B$6:$B$25,0))),Settings!$C$10))</f>
        <v/>
      </c>
      <c r="G283" s="77" t="str">
        <f aca="false">IF(OR(B283="",F283=""),"",B283+F283)</f>
        <v/>
      </c>
      <c r="H283" s="65"/>
      <c r="I283" s="76"/>
      <c r="J283" s="51"/>
      <c r="K283" s="73" t="str">
        <f aca="false">IF(E283="","",E283-N(I283))</f>
        <v/>
      </c>
      <c r="L283" s="78" t="str">
        <f aca="true">IF(E283="","",IF(K283&lt;=0,"Paid",IF(AND(G283&lt;&gt;"",TODAY()&gt;G283),"Overdue",IF(N(I283)&gt;0,"Partial","Open"))))</f>
        <v/>
      </c>
      <c r="M283" s="66" t="str">
        <f aca="true">IF(OR(E283="",G283=""),"",IF(K283&lt;=0,IF(H283="","",MAX(0,H283-G283)),MAX(0,TODAY()-G283)))</f>
        <v/>
      </c>
      <c r="N283" s="78" t="str">
        <f aca="true">IF(OR(E283="",G283=""),"",IF(K283&lt;=0,"",IF(TODAY()&lt;=G283,"Not due yet",IF(TODAY()-G283&lt;=30,"1-30 days late",IF(TODAY()-G283&lt;=60,"31-60 days late",IF(TODAY()-G283&lt;=90,"61-90 days late","90+ days late"))))))</f>
        <v/>
      </c>
      <c r="O283" s="66" t="str">
        <f aca="false">IF(OR(H283="",B283="",K283&gt;0),"",H283-B283)</f>
        <v/>
      </c>
    </row>
    <row r="284" customFormat="false" ht="15" hidden="false" customHeight="false" outlineLevel="0" collapsed="false">
      <c r="A284" s="51"/>
      <c r="B284" s="65"/>
      <c r="C284" s="51"/>
      <c r="D284" s="51"/>
      <c r="E284" s="76"/>
      <c r="F284" s="66" t="str">
        <f aca="false">IF(C284="","",IFERROR(1/(1/INDEX(Clients!$H$6:$H$25,MATCH(C284,Clients!$B$6:$B$25,0))),Settings!$C$10))</f>
        <v/>
      </c>
      <c r="G284" s="77" t="str">
        <f aca="false">IF(OR(B284="",F284=""),"",B284+F284)</f>
        <v/>
      </c>
      <c r="H284" s="65"/>
      <c r="I284" s="76"/>
      <c r="J284" s="51"/>
      <c r="K284" s="73" t="str">
        <f aca="false">IF(E284="","",E284-N(I284))</f>
        <v/>
      </c>
      <c r="L284" s="78" t="str">
        <f aca="true">IF(E284="","",IF(K284&lt;=0,"Paid",IF(AND(G284&lt;&gt;"",TODAY()&gt;G284),"Overdue",IF(N(I284)&gt;0,"Partial","Open"))))</f>
        <v/>
      </c>
      <c r="M284" s="66" t="str">
        <f aca="true">IF(OR(E284="",G284=""),"",IF(K284&lt;=0,IF(H284="","",MAX(0,H284-G284)),MAX(0,TODAY()-G284)))</f>
        <v/>
      </c>
      <c r="N284" s="78" t="str">
        <f aca="true">IF(OR(E284="",G284=""),"",IF(K284&lt;=0,"",IF(TODAY()&lt;=G284,"Not due yet",IF(TODAY()-G284&lt;=30,"1-30 days late",IF(TODAY()-G284&lt;=60,"31-60 days late",IF(TODAY()-G284&lt;=90,"61-90 days late","90+ days late"))))))</f>
        <v/>
      </c>
      <c r="O284" s="66" t="str">
        <f aca="false">IF(OR(H284="",B284="",K284&gt;0),"",H284-B284)</f>
        <v/>
      </c>
    </row>
    <row r="285" customFormat="false" ht="15" hidden="false" customHeight="false" outlineLevel="0" collapsed="false">
      <c r="A285" s="51"/>
      <c r="B285" s="65"/>
      <c r="C285" s="51"/>
      <c r="D285" s="51"/>
      <c r="E285" s="76"/>
      <c r="F285" s="66" t="str">
        <f aca="false">IF(C285="","",IFERROR(1/(1/INDEX(Clients!$H$6:$H$25,MATCH(C285,Clients!$B$6:$B$25,0))),Settings!$C$10))</f>
        <v/>
      </c>
      <c r="G285" s="77" t="str">
        <f aca="false">IF(OR(B285="",F285=""),"",B285+F285)</f>
        <v/>
      </c>
      <c r="H285" s="65"/>
      <c r="I285" s="76"/>
      <c r="J285" s="51"/>
      <c r="K285" s="73" t="str">
        <f aca="false">IF(E285="","",E285-N(I285))</f>
        <v/>
      </c>
      <c r="L285" s="78" t="str">
        <f aca="true">IF(E285="","",IF(K285&lt;=0,"Paid",IF(AND(G285&lt;&gt;"",TODAY()&gt;G285),"Overdue",IF(N(I285)&gt;0,"Partial","Open"))))</f>
        <v/>
      </c>
      <c r="M285" s="66" t="str">
        <f aca="true">IF(OR(E285="",G285=""),"",IF(K285&lt;=0,IF(H285="","",MAX(0,H285-G285)),MAX(0,TODAY()-G285)))</f>
        <v/>
      </c>
      <c r="N285" s="78" t="str">
        <f aca="true">IF(OR(E285="",G285=""),"",IF(K285&lt;=0,"",IF(TODAY()&lt;=G285,"Not due yet",IF(TODAY()-G285&lt;=30,"1-30 days late",IF(TODAY()-G285&lt;=60,"31-60 days late",IF(TODAY()-G285&lt;=90,"61-90 days late","90+ days late"))))))</f>
        <v/>
      </c>
      <c r="O285" s="66" t="str">
        <f aca="false">IF(OR(H285="",B285="",K285&gt;0),"",H285-B285)</f>
        <v/>
      </c>
    </row>
    <row r="286" customFormat="false" ht="15" hidden="false" customHeight="false" outlineLevel="0" collapsed="false">
      <c r="A286" s="51"/>
      <c r="B286" s="65"/>
      <c r="C286" s="51"/>
      <c r="D286" s="51"/>
      <c r="E286" s="76"/>
      <c r="F286" s="66" t="str">
        <f aca="false">IF(C286="","",IFERROR(1/(1/INDEX(Clients!$H$6:$H$25,MATCH(C286,Clients!$B$6:$B$25,0))),Settings!$C$10))</f>
        <v/>
      </c>
      <c r="G286" s="77" t="str">
        <f aca="false">IF(OR(B286="",F286=""),"",B286+F286)</f>
        <v/>
      </c>
      <c r="H286" s="65"/>
      <c r="I286" s="76"/>
      <c r="J286" s="51"/>
      <c r="K286" s="73" t="str">
        <f aca="false">IF(E286="","",E286-N(I286))</f>
        <v/>
      </c>
      <c r="L286" s="78" t="str">
        <f aca="true">IF(E286="","",IF(K286&lt;=0,"Paid",IF(AND(G286&lt;&gt;"",TODAY()&gt;G286),"Overdue",IF(N(I286)&gt;0,"Partial","Open"))))</f>
        <v/>
      </c>
      <c r="M286" s="66" t="str">
        <f aca="true">IF(OR(E286="",G286=""),"",IF(K286&lt;=0,IF(H286="","",MAX(0,H286-G286)),MAX(0,TODAY()-G286)))</f>
        <v/>
      </c>
      <c r="N286" s="78" t="str">
        <f aca="true">IF(OR(E286="",G286=""),"",IF(K286&lt;=0,"",IF(TODAY()&lt;=G286,"Not due yet",IF(TODAY()-G286&lt;=30,"1-30 days late",IF(TODAY()-G286&lt;=60,"31-60 days late",IF(TODAY()-G286&lt;=90,"61-90 days late","90+ days late"))))))</f>
        <v/>
      </c>
      <c r="O286" s="66" t="str">
        <f aca="false">IF(OR(H286="",B286="",K286&gt;0),"",H286-B286)</f>
        <v/>
      </c>
    </row>
    <row r="287" customFormat="false" ht="15" hidden="false" customHeight="false" outlineLevel="0" collapsed="false">
      <c r="A287" s="51"/>
      <c r="B287" s="65"/>
      <c r="C287" s="51"/>
      <c r="D287" s="51"/>
      <c r="E287" s="76"/>
      <c r="F287" s="66" t="str">
        <f aca="false">IF(C287="","",IFERROR(1/(1/INDEX(Clients!$H$6:$H$25,MATCH(C287,Clients!$B$6:$B$25,0))),Settings!$C$10))</f>
        <v/>
      </c>
      <c r="G287" s="77" t="str">
        <f aca="false">IF(OR(B287="",F287=""),"",B287+F287)</f>
        <v/>
      </c>
      <c r="H287" s="65"/>
      <c r="I287" s="76"/>
      <c r="J287" s="51"/>
      <c r="K287" s="73" t="str">
        <f aca="false">IF(E287="","",E287-N(I287))</f>
        <v/>
      </c>
      <c r="L287" s="78" t="str">
        <f aca="true">IF(E287="","",IF(K287&lt;=0,"Paid",IF(AND(G287&lt;&gt;"",TODAY()&gt;G287),"Overdue",IF(N(I287)&gt;0,"Partial","Open"))))</f>
        <v/>
      </c>
      <c r="M287" s="66" t="str">
        <f aca="true">IF(OR(E287="",G287=""),"",IF(K287&lt;=0,IF(H287="","",MAX(0,H287-G287)),MAX(0,TODAY()-G287)))</f>
        <v/>
      </c>
      <c r="N287" s="78" t="str">
        <f aca="true">IF(OR(E287="",G287=""),"",IF(K287&lt;=0,"",IF(TODAY()&lt;=G287,"Not due yet",IF(TODAY()-G287&lt;=30,"1-30 days late",IF(TODAY()-G287&lt;=60,"31-60 days late",IF(TODAY()-G287&lt;=90,"61-90 days late","90+ days late"))))))</f>
        <v/>
      </c>
      <c r="O287" s="66" t="str">
        <f aca="false">IF(OR(H287="",B287="",K287&gt;0),"",H287-B287)</f>
        <v/>
      </c>
    </row>
    <row r="288" customFormat="false" ht="15" hidden="false" customHeight="false" outlineLevel="0" collapsed="false">
      <c r="A288" s="51"/>
      <c r="B288" s="65"/>
      <c r="C288" s="51"/>
      <c r="D288" s="51"/>
      <c r="E288" s="76"/>
      <c r="F288" s="66" t="str">
        <f aca="false">IF(C288="","",IFERROR(1/(1/INDEX(Clients!$H$6:$H$25,MATCH(C288,Clients!$B$6:$B$25,0))),Settings!$C$10))</f>
        <v/>
      </c>
      <c r="G288" s="77" t="str">
        <f aca="false">IF(OR(B288="",F288=""),"",B288+F288)</f>
        <v/>
      </c>
      <c r="H288" s="65"/>
      <c r="I288" s="76"/>
      <c r="J288" s="51"/>
      <c r="K288" s="73" t="str">
        <f aca="false">IF(E288="","",E288-N(I288))</f>
        <v/>
      </c>
      <c r="L288" s="78" t="str">
        <f aca="true">IF(E288="","",IF(K288&lt;=0,"Paid",IF(AND(G288&lt;&gt;"",TODAY()&gt;G288),"Overdue",IF(N(I288)&gt;0,"Partial","Open"))))</f>
        <v/>
      </c>
      <c r="M288" s="66" t="str">
        <f aca="true">IF(OR(E288="",G288=""),"",IF(K288&lt;=0,IF(H288="","",MAX(0,H288-G288)),MAX(0,TODAY()-G288)))</f>
        <v/>
      </c>
      <c r="N288" s="78" t="str">
        <f aca="true">IF(OR(E288="",G288=""),"",IF(K288&lt;=0,"",IF(TODAY()&lt;=G288,"Not due yet",IF(TODAY()-G288&lt;=30,"1-30 days late",IF(TODAY()-G288&lt;=60,"31-60 days late",IF(TODAY()-G288&lt;=90,"61-90 days late","90+ days late"))))))</f>
        <v/>
      </c>
      <c r="O288" s="66" t="str">
        <f aca="false">IF(OR(H288="",B288="",K288&gt;0),"",H288-B288)</f>
        <v/>
      </c>
    </row>
    <row r="289" customFormat="false" ht="15" hidden="false" customHeight="false" outlineLevel="0" collapsed="false">
      <c r="A289" s="51"/>
      <c r="B289" s="65"/>
      <c r="C289" s="51"/>
      <c r="D289" s="51"/>
      <c r="E289" s="76"/>
      <c r="F289" s="66" t="str">
        <f aca="false">IF(C289="","",IFERROR(1/(1/INDEX(Clients!$H$6:$H$25,MATCH(C289,Clients!$B$6:$B$25,0))),Settings!$C$10))</f>
        <v/>
      </c>
      <c r="G289" s="77" t="str">
        <f aca="false">IF(OR(B289="",F289=""),"",B289+F289)</f>
        <v/>
      </c>
      <c r="H289" s="65"/>
      <c r="I289" s="76"/>
      <c r="J289" s="51"/>
      <c r="K289" s="73" t="str">
        <f aca="false">IF(E289="","",E289-N(I289))</f>
        <v/>
      </c>
      <c r="L289" s="78" t="str">
        <f aca="true">IF(E289="","",IF(K289&lt;=0,"Paid",IF(AND(G289&lt;&gt;"",TODAY()&gt;G289),"Overdue",IF(N(I289)&gt;0,"Partial","Open"))))</f>
        <v/>
      </c>
      <c r="M289" s="66" t="str">
        <f aca="true">IF(OR(E289="",G289=""),"",IF(K289&lt;=0,IF(H289="","",MAX(0,H289-G289)),MAX(0,TODAY()-G289)))</f>
        <v/>
      </c>
      <c r="N289" s="78" t="str">
        <f aca="true">IF(OR(E289="",G289=""),"",IF(K289&lt;=0,"",IF(TODAY()&lt;=G289,"Not due yet",IF(TODAY()-G289&lt;=30,"1-30 days late",IF(TODAY()-G289&lt;=60,"31-60 days late",IF(TODAY()-G289&lt;=90,"61-90 days late","90+ days late"))))))</f>
        <v/>
      </c>
      <c r="O289" s="66" t="str">
        <f aca="false">IF(OR(H289="",B289="",K289&gt;0),"",H289-B289)</f>
        <v/>
      </c>
    </row>
    <row r="290" customFormat="false" ht="15" hidden="false" customHeight="false" outlineLevel="0" collapsed="false">
      <c r="A290" s="51"/>
      <c r="B290" s="65"/>
      <c r="C290" s="51"/>
      <c r="D290" s="51"/>
      <c r="E290" s="76"/>
      <c r="F290" s="66" t="str">
        <f aca="false">IF(C290="","",IFERROR(1/(1/INDEX(Clients!$H$6:$H$25,MATCH(C290,Clients!$B$6:$B$25,0))),Settings!$C$10))</f>
        <v/>
      </c>
      <c r="G290" s="77" t="str">
        <f aca="false">IF(OR(B290="",F290=""),"",B290+F290)</f>
        <v/>
      </c>
      <c r="H290" s="65"/>
      <c r="I290" s="76"/>
      <c r="J290" s="51"/>
      <c r="K290" s="73" t="str">
        <f aca="false">IF(E290="","",E290-N(I290))</f>
        <v/>
      </c>
      <c r="L290" s="78" t="str">
        <f aca="true">IF(E290="","",IF(K290&lt;=0,"Paid",IF(AND(G290&lt;&gt;"",TODAY()&gt;G290),"Overdue",IF(N(I290)&gt;0,"Partial","Open"))))</f>
        <v/>
      </c>
      <c r="M290" s="66" t="str">
        <f aca="true">IF(OR(E290="",G290=""),"",IF(K290&lt;=0,IF(H290="","",MAX(0,H290-G290)),MAX(0,TODAY()-G290)))</f>
        <v/>
      </c>
      <c r="N290" s="78" t="str">
        <f aca="true">IF(OR(E290="",G290=""),"",IF(K290&lt;=0,"",IF(TODAY()&lt;=G290,"Not due yet",IF(TODAY()-G290&lt;=30,"1-30 days late",IF(TODAY()-G290&lt;=60,"31-60 days late",IF(TODAY()-G290&lt;=90,"61-90 days late","90+ days late"))))))</f>
        <v/>
      </c>
      <c r="O290" s="66" t="str">
        <f aca="false">IF(OR(H290="",B290="",K290&gt;0),"",H290-B290)</f>
        <v/>
      </c>
    </row>
    <row r="291" customFormat="false" ht="15" hidden="false" customHeight="false" outlineLevel="0" collapsed="false">
      <c r="A291" s="51"/>
      <c r="B291" s="65"/>
      <c r="C291" s="51"/>
      <c r="D291" s="51"/>
      <c r="E291" s="76"/>
      <c r="F291" s="66" t="str">
        <f aca="false">IF(C291="","",IFERROR(1/(1/INDEX(Clients!$H$6:$H$25,MATCH(C291,Clients!$B$6:$B$25,0))),Settings!$C$10))</f>
        <v/>
      </c>
      <c r="G291" s="77" t="str">
        <f aca="false">IF(OR(B291="",F291=""),"",B291+F291)</f>
        <v/>
      </c>
      <c r="H291" s="65"/>
      <c r="I291" s="76"/>
      <c r="J291" s="51"/>
      <c r="K291" s="73" t="str">
        <f aca="false">IF(E291="","",E291-N(I291))</f>
        <v/>
      </c>
      <c r="L291" s="78" t="str">
        <f aca="true">IF(E291="","",IF(K291&lt;=0,"Paid",IF(AND(G291&lt;&gt;"",TODAY()&gt;G291),"Overdue",IF(N(I291)&gt;0,"Partial","Open"))))</f>
        <v/>
      </c>
      <c r="M291" s="66" t="str">
        <f aca="true">IF(OR(E291="",G291=""),"",IF(K291&lt;=0,IF(H291="","",MAX(0,H291-G291)),MAX(0,TODAY()-G291)))</f>
        <v/>
      </c>
      <c r="N291" s="78" t="str">
        <f aca="true">IF(OR(E291="",G291=""),"",IF(K291&lt;=0,"",IF(TODAY()&lt;=G291,"Not due yet",IF(TODAY()-G291&lt;=30,"1-30 days late",IF(TODAY()-G291&lt;=60,"31-60 days late",IF(TODAY()-G291&lt;=90,"61-90 days late","90+ days late"))))))</f>
        <v/>
      </c>
      <c r="O291" s="66" t="str">
        <f aca="false">IF(OR(H291="",B291="",K291&gt;0),"",H291-B291)</f>
        <v/>
      </c>
    </row>
    <row r="292" customFormat="false" ht="15" hidden="false" customHeight="false" outlineLevel="0" collapsed="false">
      <c r="A292" s="51"/>
      <c r="B292" s="65"/>
      <c r="C292" s="51"/>
      <c r="D292" s="51"/>
      <c r="E292" s="76"/>
      <c r="F292" s="66" t="str">
        <f aca="false">IF(C292="","",IFERROR(1/(1/INDEX(Clients!$H$6:$H$25,MATCH(C292,Clients!$B$6:$B$25,0))),Settings!$C$10))</f>
        <v/>
      </c>
      <c r="G292" s="77" t="str">
        <f aca="false">IF(OR(B292="",F292=""),"",B292+F292)</f>
        <v/>
      </c>
      <c r="H292" s="65"/>
      <c r="I292" s="76"/>
      <c r="J292" s="51"/>
      <c r="K292" s="73" t="str">
        <f aca="false">IF(E292="","",E292-N(I292))</f>
        <v/>
      </c>
      <c r="L292" s="78" t="str">
        <f aca="true">IF(E292="","",IF(K292&lt;=0,"Paid",IF(AND(G292&lt;&gt;"",TODAY()&gt;G292),"Overdue",IF(N(I292)&gt;0,"Partial","Open"))))</f>
        <v/>
      </c>
      <c r="M292" s="66" t="str">
        <f aca="true">IF(OR(E292="",G292=""),"",IF(K292&lt;=0,IF(H292="","",MAX(0,H292-G292)),MAX(0,TODAY()-G292)))</f>
        <v/>
      </c>
      <c r="N292" s="78" t="str">
        <f aca="true">IF(OR(E292="",G292=""),"",IF(K292&lt;=0,"",IF(TODAY()&lt;=G292,"Not due yet",IF(TODAY()-G292&lt;=30,"1-30 days late",IF(TODAY()-G292&lt;=60,"31-60 days late",IF(TODAY()-G292&lt;=90,"61-90 days late","90+ days late"))))))</f>
        <v/>
      </c>
      <c r="O292" s="66" t="str">
        <f aca="false">IF(OR(H292="",B292="",K292&gt;0),"",H292-B292)</f>
        <v/>
      </c>
    </row>
    <row r="293" customFormat="false" ht="15" hidden="false" customHeight="false" outlineLevel="0" collapsed="false">
      <c r="A293" s="51"/>
      <c r="B293" s="65"/>
      <c r="C293" s="51"/>
      <c r="D293" s="51"/>
      <c r="E293" s="76"/>
      <c r="F293" s="66" t="str">
        <f aca="false">IF(C293="","",IFERROR(1/(1/INDEX(Clients!$H$6:$H$25,MATCH(C293,Clients!$B$6:$B$25,0))),Settings!$C$10))</f>
        <v/>
      </c>
      <c r="G293" s="77" t="str">
        <f aca="false">IF(OR(B293="",F293=""),"",B293+F293)</f>
        <v/>
      </c>
      <c r="H293" s="65"/>
      <c r="I293" s="76"/>
      <c r="J293" s="51"/>
      <c r="K293" s="73" t="str">
        <f aca="false">IF(E293="","",E293-N(I293))</f>
        <v/>
      </c>
      <c r="L293" s="78" t="str">
        <f aca="true">IF(E293="","",IF(K293&lt;=0,"Paid",IF(AND(G293&lt;&gt;"",TODAY()&gt;G293),"Overdue",IF(N(I293)&gt;0,"Partial","Open"))))</f>
        <v/>
      </c>
      <c r="M293" s="66" t="str">
        <f aca="true">IF(OR(E293="",G293=""),"",IF(K293&lt;=0,IF(H293="","",MAX(0,H293-G293)),MAX(0,TODAY()-G293)))</f>
        <v/>
      </c>
      <c r="N293" s="78" t="str">
        <f aca="true">IF(OR(E293="",G293=""),"",IF(K293&lt;=0,"",IF(TODAY()&lt;=G293,"Not due yet",IF(TODAY()-G293&lt;=30,"1-30 days late",IF(TODAY()-G293&lt;=60,"31-60 days late",IF(TODAY()-G293&lt;=90,"61-90 days late","90+ days late"))))))</f>
        <v/>
      </c>
      <c r="O293" s="66" t="str">
        <f aca="false">IF(OR(H293="",B293="",K293&gt;0),"",H293-B293)</f>
        <v/>
      </c>
    </row>
    <row r="294" customFormat="false" ht="15" hidden="false" customHeight="false" outlineLevel="0" collapsed="false">
      <c r="A294" s="51"/>
      <c r="B294" s="65"/>
      <c r="C294" s="51"/>
      <c r="D294" s="51"/>
      <c r="E294" s="76"/>
      <c r="F294" s="66" t="str">
        <f aca="false">IF(C294="","",IFERROR(1/(1/INDEX(Clients!$H$6:$H$25,MATCH(C294,Clients!$B$6:$B$25,0))),Settings!$C$10))</f>
        <v/>
      </c>
      <c r="G294" s="77" t="str">
        <f aca="false">IF(OR(B294="",F294=""),"",B294+F294)</f>
        <v/>
      </c>
      <c r="H294" s="65"/>
      <c r="I294" s="76"/>
      <c r="J294" s="51"/>
      <c r="K294" s="73" t="str">
        <f aca="false">IF(E294="","",E294-N(I294))</f>
        <v/>
      </c>
      <c r="L294" s="78" t="str">
        <f aca="true">IF(E294="","",IF(K294&lt;=0,"Paid",IF(AND(G294&lt;&gt;"",TODAY()&gt;G294),"Overdue",IF(N(I294)&gt;0,"Partial","Open"))))</f>
        <v/>
      </c>
      <c r="M294" s="66" t="str">
        <f aca="true">IF(OR(E294="",G294=""),"",IF(K294&lt;=0,IF(H294="","",MAX(0,H294-G294)),MAX(0,TODAY()-G294)))</f>
        <v/>
      </c>
      <c r="N294" s="78" t="str">
        <f aca="true">IF(OR(E294="",G294=""),"",IF(K294&lt;=0,"",IF(TODAY()&lt;=G294,"Not due yet",IF(TODAY()-G294&lt;=30,"1-30 days late",IF(TODAY()-G294&lt;=60,"31-60 days late",IF(TODAY()-G294&lt;=90,"61-90 days late","90+ days late"))))))</f>
        <v/>
      </c>
      <c r="O294" s="66" t="str">
        <f aca="false">IF(OR(H294="",B294="",K294&gt;0),"",H294-B294)</f>
        <v/>
      </c>
    </row>
    <row r="295" customFormat="false" ht="15" hidden="false" customHeight="false" outlineLevel="0" collapsed="false">
      <c r="A295" s="51"/>
      <c r="B295" s="65"/>
      <c r="C295" s="51"/>
      <c r="D295" s="51"/>
      <c r="E295" s="76"/>
      <c r="F295" s="66" t="str">
        <f aca="false">IF(C295="","",IFERROR(1/(1/INDEX(Clients!$H$6:$H$25,MATCH(C295,Clients!$B$6:$B$25,0))),Settings!$C$10))</f>
        <v/>
      </c>
      <c r="G295" s="77" t="str">
        <f aca="false">IF(OR(B295="",F295=""),"",B295+F295)</f>
        <v/>
      </c>
      <c r="H295" s="65"/>
      <c r="I295" s="76"/>
      <c r="J295" s="51"/>
      <c r="K295" s="73" t="str">
        <f aca="false">IF(E295="","",E295-N(I295))</f>
        <v/>
      </c>
      <c r="L295" s="78" t="str">
        <f aca="true">IF(E295="","",IF(K295&lt;=0,"Paid",IF(AND(G295&lt;&gt;"",TODAY()&gt;G295),"Overdue",IF(N(I295)&gt;0,"Partial","Open"))))</f>
        <v/>
      </c>
      <c r="M295" s="66" t="str">
        <f aca="true">IF(OR(E295="",G295=""),"",IF(K295&lt;=0,IF(H295="","",MAX(0,H295-G295)),MAX(0,TODAY()-G295)))</f>
        <v/>
      </c>
      <c r="N295" s="78" t="str">
        <f aca="true">IF(OR(E295="",G295=""),"",IF(K295&lt;=0,"",IF(TODAY()&lt;=G295,"Not due yet",IF(TODAY()-G295&lt;=30,"1-30 days late",IF(TODAY()-G295&lt;=60,"31-60 days late",IF(TODAY()-G295&lt;=90,"61-90 days late","90+ days late"))))))</f>
        <v/>
      </c>
      <c r="O295" s="66" t="str">
        <f aca="false">IF(OR(H295="",B295="",K295&gt;0),"",H295-B295)</f>
        <v/>
      </c>
    </row>
    <row r="296" customFormat="false" ht="15" hidden="false" customHeight="false" outlineLevel="0" collapsed="false">
      <c r="A296" s="51"/>
      <c r="B296" s="65"/>
      <c r="C296" s="51"/>
      <c r="D296" s="51"/>
      <c r="E296" s="76"/>
      <c r="F296" s="66" t="str">
        <f aca="false">IF(C296="","",IFERROR(1/(1/INDEX(Clients!$H$6:$H$25,MATCH(C296,Clients!$B$6:$B$25,0))),Settings!$C$10))</f>
        <v/>
      </c>
      <c r="G296" s="77" t="str">
        <f aca="false">IF(OR(B296="",F296=""),"",B296+F296)</f>
        <v/>
      </c>
      <c r="H296" s="65"/>
      <c r="I296" s="76"/>
      <c r="J296" s="51"/>
      <c r="K296" s="73" t="str">
        <f aca="false">IF(E296="","",E296-N(I296))</f>
        <v/>
      </c>
      <c r="L296" s="78" t="str">
        <f aca="true">IF(E296="","",IF(K296&lt;=0,"Paid",IF(AND(G296&lt;&gt;"",TODAY()&gt;G296),"Overdue",IF(N(I296)&gt;0,"Partial","Open"))))</f>
        <v/>
      </c>
      <c r="M296" s="66" t="str">
        <f aca="true">IF(OR(E296="",G296=""),"",IF(K296&lt;=0,IF(H296="","",MAX(0,H296-G296)),MAX(0,TODAY()-G296)))</f>
        <v/>
      </c>
      <c r="N296" s="78" t="str">
        <f aca="true">IF(OR(E296="",G296=""),"",IF(K296&lt;=0,"",IF(TODAY()&lt;=G296,"Not due yet",IF(TODAY()-G296&lt;=30,"1-30 days late",IF(TODAY()-G296&lt;=60,"31-60 days late",IF(TODAY()-G296&lt;=90,"61-90 days late","90+ days late"))))))</f>
        <v/>
      </c>
      <c r="O296" s="66" t="str">
        <f aca="false">IF(OR(H296="",B296="",K296&gt;0),"",H296-B296)</f>
        <v/>
      </c>
    </row>
    <row r="297" customFormat="false" ht="15" hidden="false" customHeight="false" outlineLevel="0" collapsed="false">
      <c r="A297" s="51"/>
      <c r="B297" s="65"/>
      <c r="C297" s="51"/>
      <c r="D297" s="51"/>
      <c r="E297" s="76"/>
      <c r="F297" s="66" t="str">
        <f aca="false">IF(C297="","",IFERROR(1/(1/INDEX(Clients!$H$6:$H$25,MATCH(C297,Clients!$B$6:$B$25,0))),Settings!$C$10))</f>
        <v/>
      </c>
      <c r="G297" s="77" t="str">
        <f aca="false">IF(OR(B297="",F297=""),"",B297+F297)</f>
        <v/>
      </c>
      <c r="H297" s="65"/>
      <c r="I297" s="76"/>
      <c r="J297" s="51"/>
      <c r="K297" s="73" t="str">
        <f aca="false">IF(E297="","",E297-N(I297))</f>
        <v/>
      </c>
      <c r="L297" s="78" t="str">
        <f aca="true">IF(E297="","",IF(K297&lt;=0,"Paid",IF(AND(G297&lt;&gt;"",TODAY()&gt;G297),"Overdue",IF(N(I297)&gt;0,"Partial","Open"))))</f>
        <v/>
      </c>
      <c r="M297" s="66" t="str">
        <f aca="true">IF(OR(E297="",G297=""),"",IF(K297&lt;=0,IF(H297="","",MAX(0,H297-G297)),MAX(0,TODAY()-G297)))</f>
        <v/>
      </c>
      <c r="N297" s="78" t="str">
        <f aca="true">IF(OR(E297="",G297=""),"",IF(K297&lt;=0,"",IF(TODAY()&lt;=G297,"Not due yet",IF(TODAY()-G297&lt;=30,"1-30 days late",IF(TODAY()-G297&lt;=60,"31-60 days late",IF(TODAY()-G297&lt;=90,"61-90 days late","90+ days late"))))))</f>
        <v/>
      </c>
      <c r="O297" s="66" t="str">
        <f aca="false">IF(OR(H297="",B297="",K297&gt;0),"",H297-B297)</f>
        <v/>
      </c>
    </row>
    <row r="298" customFormat="false" ht="15" hidden="false" customHeight="false" outlineLevel="0" collapsed="false">
      <c r="A298" s="51"/>
      <c r="B298" s="65"/>
      <c r="C298" s="51"/>
      <c r="D298" s="51"/>
      <c r="E298" s="76"/>
      <c r="F298" s="66" t="str">
        <f aca="false">IF(C298="","",IFERROR(1/(1/INDEX(Clients!$H$6:$H$25,MATCH(C298,Clients!$B$6:$B$25,0))),Settings!$C$10))</f>
        <v/>
      </c>
      <c r="G298" s="77" t="str">
        <f aca="false">IF(OR(B298="",F298=""),"",B298+F298)</f>
        <v/>
      </c>
      <c r="H298" s="65"/>
      <c r="I298" s="76"/>
      <c r="J298" s="51"/>
      <c r="K298" s="73" t="str">
        <f aca="false">IF(E298="","",E298-N(I298))</f>
        <v/>
      </c>
      <c r="L298" s="78" t="str">
        <f aca="true">IF(E298="","",IF(K298&lt;=0,"Paid",IF(AND(G298&lt;&gt;"",TODAY()&gt;G298),"Overdue",IF(N(I298)&gt;0,"Partial","Open"))))</f>
        <v/>
      </c>
      <c r="M298" s="66" t="str">
        <f aca="true">IF(OR(E298="",G298=""),"",IF(K298&lt;=0,IF(H298="","",MAX(0,H298-G298)),MAX(0,TODAY()-G298)))</f>
        <v/>
      </c>
      <c r="N298" s="78" t="str">
        <f aca="true">IF(OR(E298="",G298=""),"",IF(K298&lt;=0,"",IF(TODAY()&lt;=G298,"Not due yet",IF(TODAY()-G298&lt;=30,"1-30 days late",IF(TODAY()-G298&lt;=60,"31-60 days late",IF(TODAY()-G298&lt;=90,"61-90 days late","90+ days late"))))))</f>
        <v/>
      </c>
      <c r="O298" s="66" t="str">
        <f aca="false">IF(OR(H298="",B298="",K298&gt;0),"",H298-B298)</f>
        <v/>
      </c>
    </row>
    <row r="299" customFormat="false" ht="15" hidden="false" customHeight="false" outlineLevel="0" collapsed="false">
      <c r="A299" s="51"/>
      <c r="B299" s="65"/>
      <c r="C299" s="51"/>
      <c r="D299" s="51"/>
      <c r="E299" s="76"/>
      <c r="F299" s="66" t="str">
        <f aca="false">IF(C299="","",IFERROR(1/(1/INDEX(Clients!$H$6:$H$25,MATCH(C299,Clients!$B$6:$B$25,0))),Settings!$C$10))</f>
        <v/>
      </c>
      <c r="G299" s="77" t="str">
        <f aca="false">IF(OR(B299="",F299=""),"",B299+F299)</f>
        <v/>
      </c>
      <c r="H299" s="65"/>
      <c r="I299" s="76"/>
      <c r="J299" s="51"/>
      <c r="K299" s="73" t="str">
        <f aca="false">IF(E299="","",E299-N(I299))</f>
        <v/>
      </c>
      <c r="L299" s="78" t="str">
        <f aca="true">IF(E299="","",IF(K299&lt;=0,"Paid",IF(AND(G299&lt;&gt;"",TODAY()&gt;G299),"Overdue",IF(N(I299)&gt;0,"Partial","Open"))))</f>
        <v/>
      </c>
      <c r="M299" s="66" t="str">
        <f aca="true">IF(OR(E299="",G299=""),"",IF(K299&lt;=0,IF(H299="","",MAX(0,H299-G299)),MAX(0,TODAY()-G299)))</f>
        <v/>
      </c>
      <c r="N299" s="78" t="str">
        <f aca="true">IF(OR(E299="",G299=""),"",IF(K299&lt;=0,"",IF(TODAY()&lt;=G299,"Not due yet",IF(TODAY()-G299&lt;=30,"1-30 days late",IF(TODAY()-G299&lt;=60,"31-60 days late",IF(TODAY()-G299&lt;=90,"61-90 days late","90+ days late"))))))</f>
        <v/>
      </c>
      <c r="O299" s="66" t="str">
        <f aca="false">IF(OR(H299="",B299="",K299&gt;0),"",H299-B299)</f>
        <v/>
      </c>
    </row>
    <row r="300" customFormat="false" ht="15" hidden="false" customHeight="false" outlineLevel="0" collapsed="false">
      <c r="A300" s="51"/>
      <c r="B300" s="65"/>
      <c r="C300" s="51"/>
      <c r="D300" s="51"/>
      <c r="E300" s="76"/>
      <c r="F300" s="66" t="str">
        <f aca="false">IF(C300="","",IFERROR(1/(1/INDEX(Clients!$H$6:$H$25,MATCH(C300,Clients!$B$6:$B$25,0))),Settings!$C$10))</f>
        <v/>
      </c>
      <c r="G300" s="77" t="str">
        <f aca="false">IF(OR(B300="",F300=""),"",B300+F300)</f>
        <v/>
      </c>
      <c r="H300" s="65"/>
      <c r="I300" s="76"/>
      <c r="J300" s="51"/>
      <c r="K300" s="73" t="str">
        <f aca="false">IF(E300="","",E300-N(I300))</f>
        <v/>
      </c>
      <c r="L300" s="78" t="str">
        <f aca="true">IF(E300="","",IF(K300&lt;=0,"Paid",IF(AND(G300&lt;&gt;"",TODAY()&gt;G300),"Overdue",IF(N(I300)&gt;0,"Partial","Open"))))</f>
        <v/>
      </c>
      <c r="M300" s="66" t="str">
        <f aca="true">IF(OR(E300="",G300=""),"",IF(K300&lt;=0,IF(H300="","",MAX(0,H300-G300)),MAX(0,TODAY()-G300)))</f>
        <v/>
      </c>
      <c r="N300" s="78" t="str">
        <f aca="true">IF(OR(E300="",G300=""),"",IF(K300&lt;=0,"",IF(TODAY()&lt;=G300,"Not due yet",IF(TODAY()-G300&lt;=30,"1-30 days late",IF(TODAY()-G300&lt;=60,"31-60 days late",IF(TODAY()-G300&lt;=90,"61-90 days late","90+ days late"))))))</f>
        <v/>
      </c>
      <c r="O300" s="66" t="str">
        <f aca="false">IF(OR(H300="",B300="",K300&gt;0),"",H300-B300)</f>
        <v/>
      </c>
    </row>
    <row r="301" customFormat="false" ht="15" hidden="false" customHeight="false" outlineLevel="0" collapsed="false">
      <c r="A301" s="51"/>
      <c r="B301" s="65"/>
      <c r="C301" s="51"/>
      <c r="D301" s="51"/>
      <c r="E301" s="76"/>
      <c r="F301" s="66" t="str">
        <f aca="false">IF(C301="","",IFERROR(1/(1/INDEX(Clients!$H$6:$H$25,MATCH(C301,Clients!$B$6:$B$25,0))),Settings!$C$10))</f>
        <v/>
      </c>
      <c r="G301" s="77" t="str">
        <f aca="false">IF(OR(B301="",F301=""),"",B301+F301)</f>
        <v/>
      </c>
      <c r="H301" s="65"/>
      <c r="I301" s="76"/>
      <c r="J301" s="51"/>
      <c r="K301" s="73" t="str">
        <f aca="false">IF(E301="","",E301-N(I301))</f>
        <v/>
      </c>
      <c r="L301" s="78" t="str">
        <f aca="true">IF(E301="","",IF(K301&lt;=0,"Paid",IF(AND(G301&lt;&gt;"",TODAY()&gt;G301),"Overdue",IF(N(I301)&gt;0,"Partial","Open"))))</f>
        <v/>
      </c>
      <c r="M301" s="66" t="str">
        <f aca="true">IF(OR(E301="",G301=""),"",IF(K301&lt;=0,IF(H301="","",MAX(0,H301-G301)),MAX(0,TODAY()-G301)))</f>
        <v/>
      </c>
      <c r="N301" s="78" t="str">
        <f aca="true">IF(OR(E301="",G301=""),"",IF(K301&lt;=0,"",IF(TODAY()&lt;=G301,"Not due yet",IF(TODAY()-G301&lt;=30,"1-30 days late",IF(TODAY()-G301&lt;=60,"31-60 days late",IF(TODAY()-G301&lt;=90,"61-90 days late","90+ days late"))))))</f>
        <v/>
      </c>
      <c r="O301" s="66" t="str">
        <f aca="false">IF(OR(H301="",B301="",K301&gt;0),"",H301-B301)</f>
        <v/>
      </c>
    </row>
    <row r="302" customFormat="false" ht="15" hidden="false" customHeight="false" outlineLevel="0" collapsed="false">
      <c r="A302" s="51"/>
      <c r="B302" s="65"/>
      <c r="C302" s="51"/>
      <c r="D302" s="51"/>
      <c r="E302" s="76"/>
      <c r="F302" s="66" t="str">
        <f aca="false">IF(C302="","",IFERROR(1/(1/INDEX(Clients!$H$6:$H$25,MATCH(C302,Clients!$B$6:$B$25,0))),Settings!$C$10))</f>
        <v/>
      </c>
      <c r="G302" s="77" t="str">
        <f aca="false">IF(OR(B302="",F302=""),"",B302+F302)</f>
        <v/>
      </c>
      <c r="H302" s="65"/>
      <c r="I302" s="76"/>
      <c r="J302" s="51"/>
      <c r="K302" s="73" t="str">
        <f aca="false">IF(E302="","",E302-N(I302))</f>
        <v/>
      </c>
      <c r="L302" s="78" t="str">
        <f aca="true">IF(E302="","",IF(K302&lt;=0,"Paid",IF(AND(G302&lt;&gt;"",TODAY()&gt;G302),"Overdue",IF(N(I302)&gt;0,"Partial","Open"))))</f>
        <v/>
      </c>
      <c r="M302" s="66" t="str">
        <f aca="true">IF(OR(E302="",G302=""),"",IF(K302&lt;=0,IF(H302="","",MAX(0,H302-G302)),MAX(0,TODAY()-G302)))</f>
        <v/>
      </c>
      <c r="N302" s="78" t="str">
        <f aca="true">IF(OR(E302="",G302=""),"",IF(K302&lt;=0,"",IF(TODAY()&lt;=G302,"Not due yet",IF(TODAY()-G302&lt;=30,"1-30 days late",IF(TODAY()-G302&lt;=60,"31-60 days late",IF(TODAY()-G302&lt;=90,"61-90 days late","90+ days late"))))))</f>
        <v/>
      </c>
      <c r="O302" s="66" t="str">
        <f aca="false">IF(OR(H302="",B302="",K302&gt;0),"",H302-B302)</f>
        <v/>
      </c>
    </row>
    <row r="303" customFormat="false" ht="15" hidden="false" customHeight="false" outlineLevel="0" collapsed="false">
      <c r="A303" s="51"/>
      <c r="B303" s="65"/>
      <c r="C303" s="51"/>
      <c r="D303" s="51"/>
      <c r="E303" s="76"/>
      <c r="F303" s="66" t="str">
        <f aca="false">IF(C303="","",IFERROR(1/(1/INDEX(Clients!$H$6:$H$25,MATCH(C303,Clients!$B$6:$B$25,0))),Settings!$C$10))</f>
        <v/>
      </c>
      <c r="G303" s="77" t="str">
        <f aca="false">IF(OR(B303="",F303=""),"",B303+F303)</f>
        <v/>
      </c>
      <c r="H303" s="65"/>
      <c r="I303" s="76"/>
      <c r="J303" s="51"/>
      <c r="K303" s="73" t="str">
        <f aca="false">IF(E303="","",E303-N(I303))</f>
        <v/>
      </c>
      <c r="L303" s="78" t="str">
        <f aca="true">IF(E303="","",IF(K303&lt;=0,"Paid",IF(AND(G303&lt;&gt;"",TODAY()&gt;G303),"Overdue",IF(N(I303)&gt;0,"Partial","Open"))))</f>
        <v/>
      </c>
      <c r="M303" s="66" t="str">
        <f aca="true">IF(OR(E303="",G303=""),"",IF(K303&lt;=0,IF(H303="","",MAX(0,H303-G303)),MAX(0,TODAY()-G303)))</f>
        <v/>
      </c>
      <c r="N303" s="78" t="str">
        <f aca="true">IF(OR(E303="",G303=""),"",IF(K303&lt;=0,"",IF(TODAY()&lt;=G303,"Not due yet",IF(TODAY()-G303&lt;=30,"1-30 days late",IF(TODAY()-G303&lt;=60,"31-60 days late",IF(TODAY()-G303&lt;=90,"61-90 days late","90+ days late"))))))</f>
        <v/>
      </c>
      <c r="O303" s="66" t="str">
        <f aca="false">IF(OR(H303="",B303="",K303&gt;0),"",H303-B303)</f>
        <v/>
      </c>
    </row>
    <row r="304" customFormat="false" ht="15" hidden="false" customHeight="false" outlineLevel="0" collapsed="false">
      <c r="A304" s="51"/>
      <c r="B304" s="65"/>
      <c r="C304" s="51"/>
      <c r="D304" s="51"/>
      <c r="E304" s="76"/>
      <c r="F304" s="66" t="str">
        <f aca="false">IF(C304="","",IFERROR(1/(1/INDEX(Clients!$H$6:$H$25,MATCH(C304,Clients!$B$6:$B$25,0))),Settings!$C$10))</f>
        <v/>
      </c>
      <c r="G304" s="77" t="str">
        <f aca="false">IF(OR(B304="",F304=""),"",B304+F304)</f>
        <v/>
      </c>
      <c r="H304" s="65"/>
      <c r="I304" s="76"/>
      <c r="J304" s="51"/>
      <c r="K304" s="73" t="str">
        <f aca="false">IF(E304="","",E304-N(I304))</f>
        <v/>
      </c>
      <c r="L304" s="78" t="str">
        <f aca="true">IF(E304="","",IF(K304&lt;=0,"Paid",IF(AND(G304&lt;&gt;"",TODAY()&gt;G304),"Overdue",IF(N(I304)&gt;0,"Partial","Open"))))</f>
        <v/>
      </c>
      <c r="M304" s="66" t="str">
        <f aca="true">IF(OR(E304="",G304=""),"",IF(K304&lt;=0,IF(H304="","",MAX(0,H304-G304)),MAX(0,TODAY()-G304)))</f>
        <v/>
      </c>
      <c r="N304" s="78" t="str">
        <f aca="true">IF(OR(E304="",G304=""),"",IF(K304&lt;=0,"",IF(TODAY()&lt;=G304,"Not due yet",IF(TODAY()-G304&lt;=30,"1-30 days late",IF(TODAY()-G304&lt;=60,"31-60 days late",IF(TODAY()-G304&lt;=90,"61-90 days late","90+ days late"))))))</f>
        <v/>
      </c>
      <c r="O304" s="66" t="str">
        <f aca="false">IF(OR(H304="",B304="",K304&gt;0),"",H304-B304)</f>
        <v/>
      </c>
    </row>
    <row r="305" customFormat="false" ht="15" hidden="false" customHeight="false" outlineLevel="0" collapsed="false">
      <c r="A305" s="51"/>
      <c r="B305" s="65"/>
      <c r="C305" s="51"/>
      <c r="D305" s="51"/>
      <c r="E305" s="76"/>
      <c r="F305" s="66" t="str">
        <f aca="false">IF(C305="","",IFERROR(1/(1/INDEX(Clients!$H$6:$H$25,MATCH(C305,Clients!$B$6:$B$25,0))),Settings!$C$10))</f>
        <v/>
      </c>
      <c r="G305" s="77" t="str">
        <f aca="false">IF(OR(B305="",F305=""),"",B305+F305)</f>
        <v/>
      </c>
      <c r="H305" s="65"/>
      <c r="I305" s="76"/>
      <c r="J305" s="51"/>
      <c r="K305" s="73" t="str">
        <f aca="false">IF(E305="","",E305-N(I305))</f>
        <v/>
      </c>
      <c r="L305" s="78" t="str">
        <f aca="true">IF(E305="","",IF(K305&lt;=0,"Paid",IF(AND(G305&lt;&gt;"",TODAY()&gt;G305),"Overdue",IF(N(I305)&gt;0,"Partial","Open"))))</f>
        <v/>
      </c>
      <c r="M305" s="66" t="str">
        <f aca="true">IF(OR(E305="",G305=""),"",IF(K305&lt;=0,IF(H305="","",MAX(0,H305-G305)),MAX(0,TODAY()-G305)))</f>
        <v/>
      </c>
      <c r="N305" s="78" t="str">
        <f aca="true">IF(OR(E305="",G305=""),"",IF(K305&lt;=0,"",IF(TODAY()&lt;=G305,"Not due yet",IF(TODAY()-G305&lt;=30,"1-30 days late",IF(TODAY()-G305&lt;=60,"31-60 days late",IF(TODAY()-G305&lt;=90,"61-90 days late","90+ days late"))))))</f>
        <v/>
      </c>
      <c r="O305" s="66" t="str">
        <f aca="false">IF(OR(H305="",B305="",K305&gt;0),"",H305-B305)</f>
        <v/>
      </c>
    </row>
    <row r="306" customFormat="false" ht="15" hidden="false" customHeight="false" outlineLevel="0" collapsed="false">
      <c r="A306" s="51"/>
      <c r="B306" s="65"/>
      <c r="C306" s="51"/>
      <c r="D306" s="51"/>
      <c r="E306" s="76"/>
      <c r="F306" s="66" t="str">
        <f aca="false">IF(C306="","",IFERROR(1/(1/INDEX(Clients!$H$6:$H$25,MATCH(C306,Clients!$B$6:$B$25,0))),Settings!$C$10))</f>
        <v/>
      </c>
      <c r="G306" s="77" t="str">
        <f aca="false">IF(OR(B306="",F306=""),"",B306+F306)</f>
        <v/>
      </c>
      <c r="H306" s="65"/>
      <c r="I306" s="76"/>
      <c r="J306" s="51"/>
      <c r="K306" s="73" t="str">
        <f aca="false">IF(E306="","",E306-N(I306))</f>
        <v/>
      </c>
      <c r="L306" s="78" t="str">
        <f aca="true">IF(E306="","",IF(K306&lt;=0,"Paid",IF(AND(G306&lt;&gt;"",TODAY()&gt;G306),"Overdue",IF(N(I306)&gt;0,"Partial","Open"))))</f>
        <v/>
      </c>
      <c r="M306" s="66" t="str">
        <f aca="true">IF(OR(E306="",G306=""),"",IF(K306&lt;=0,IF(H306="","",MAX(0,H306-G306)),MAX(0,TODAY()-G306)))</f>
        <v/>
      </c>
      <c r="N306" s="78" t="str">
        <f aca="true">IF(OR(E306="",G306=""),"",IF(K306&lt;=0,"",IF(TODAY()&lt;=G306,"Not due yet",IF(TODAY()-G306&lt;=30,"1-30 days late",IF(TODAY()-G306&lt;=60,"31-60 days late",IF(TODAY()-G306&lt;=90,"61-90 days late","90+ days late"))))))</f>
        <v/>
      </c>
      <c r="O306" s="66" t="str">
        <f aca="false">IF(OR(H306="",B306="",K306&gt;0),"",H306-B306)</f>
        <v/>
      </c>
    </row>
    <row r="307" customFormat="false" ht="15" hidden="false" customHeight="false" outlineLevel="0" collapsed="false">
      <c r="A307" s="51"/>
      <c r="B307" s="65"/>
      <c r="C307" s="51"/>
      <c r="D307" s="51"/>
      <c r="E307" s="76"/>
      <c r="F307" s="66" t="str">
        <f aca="false">IF(C307="","",IFERROR(1/(1/INDEX(Clients!$H$6:$H$25,MATCH(C307,Clients!$B$6:$B$25,0))),Settings!$C$10))</f>
        <v/>
      </c>
      <c r="G307" s="77" t="str">
        <f aca="false">IF(OR(B307="",F307=""),"",B307+F307)</f>
        <v/>
      </c>
      <c r="H307" s="65"/>
      <c r="I307" s="76"/>
      <c r="J307" s="51"/>
      <c r="K307" s="73" t="str">
        <f aca="false">IF(E307="","",E307-N(I307))</f>
        <v/>
      </c>
      <c r="L307" s="78" t="str">
        <f aca="true">IF(E307="","",IF(K307&lt;=0,"Paid",IF(AND(G307&lt;&gt;"",TODAY()&gt;G307),"Overdue",IF(N(I307)&gt;0,"Partial","Open"))))</f>
        <v/>
      </c>
      <c r="M307" s="66" t="str">
        <f aca="true">IF(OR(E307="",G307=""),"",IF(K307&lt;=0,IF(H307="","",MAX(0,H307-G307)),MAX(0,TODAY()-G307)))</f>
        <v/>
      </c>
      <c r="N307" s="78" t="str">
        <f aca="true">IF(OR(E307="",G307=""),"",IF(K307&lt;=0,"",IF(TODAY()&lt;=G307,"Not due yet",IF(TODAY()-G307&lt;=30,"1-30 days late",IF(TODAY()-G307&lt;=60,"31-60 days late",IF(TODAY()-G307&lt;=90,"61-90 days late","90+ days late"))))))</f>
        <v/>
      </c>
      <c r="O307" s="66" t="str">
        <f aca="false">IF(OR(H307="",B307="",K307&gt;0),"",H307-B307)</f>
        <v/>
      </c>
    </row>
    <row r="308" customFormat="false" ht="15" hidden="false" customHeight="false" outlineLevel="0" collapsed="false">
      <c r="A308" s="51"/>
      <c r="B308" s="65"/>
      <c r="C308" s="51"/>
      <c r="D308" s="51"/>
      <c r="E308" s="76"/>
      <c r="F308" s="66" t="str">
        <f aca="false">IF(C308="","",IFERROR(1/(1/INDEX(Clients!$H$6:$H$25,MATCH(C308,Clients!$B$6:$B$25,0))),Settings!$C$10))</f>
        <v/>
      </c>
      <c r="G308" s="77" t="str">
        <f aca="false">IF(OR(B308="",F308=""),"",B308+F308)</f>
        <v/>
      </c>
      <c r="H308" s="65"/>
      <c r="I308" s="76"/>
      <c r="J308" s="51"/>
      <c r="K308" s="73" t="str">
        <f aca="false">IF(E308="","",E308-N(I308))</f>
        <v/>
      </c>
      <c r="L308" s="78" t="str">
        <f aca="true">IF(E308="","",IF(K308&lt;=0,"Paid",IF(AND(G308&lt;&gt;"",TODAY()&gt;G308),"Overdue",IF(N(I308)&gt;0,"Partial","Open"))))</f>
        <v/>
      </c>
      <c r="M308" s="66" t="str">
        <f aca="true">IF(OR(E308="",G308=""),"",IF(K308&lt;=0,IF(H308="","",MAX(0,H308-G308)),MAX(0,TODAY()-G308)))</f>
        <v/>
      </c>
      <c r="N308" s="78" t="str">
        <f aca="true">IF(OR(E308="",G308=""),"",IF(K308&lt;=0,"",IF(TODAY()&lt;=G308,"Not due yet",IF(TODAY()-G308&lt;=30,"1-30 days late",IF(TODAY()-G308&lt;=60,"31-60 days late",IF(TODAY()-G308&lt;=90,"61-90 days late","90+ days late"))))))</f>
        <v/>
      </c>
      <c r="O308" s="66" t="str">
        <f aca="false">IF(OR(H308="",B308="",K308&gt;0),"",H308-B308)</f>
        <v/>
      </c>
    </row>
    <row r="309" customFormat="false" ht="15" hidden="false" customHeight="false" outlineLevel="0" collapsed="false">
      <c r="A309" s="51"/>
      <c r="B309" s="65"/>
      <c r="C309" s="51"/>
      <c r="D309" s="51"/>
      <c r="E309" s="76"/>
      <c r="F309" s="66" t="str">
        <f aca="false">IF(C309="","",IFERROR(1/(1/INDEX(Clients!$H$6:$H$25,MATCH(C309,Clients!$B$6:$B$25,0))),Settings!$C$10))</f>
        <v/>
      </c>
      <c r="G309" s="77" t="str">
        <f aca="false">IF(OR(B309="",F309=""),"",B309+F309)</f>
        <v/>
      </c>
      <c r="H309" s="65"/>
      <c r="I309" s="76"/>
      <c r="J309" s="51"/>
      <c r="K309" s="73" t="str">
        <f aca="false">IF(E309="","",E309-N(I309))</f>
        <v/>
      </c>
      <c r="L309" s="78" t="str">
        <f aca="true">IF(E309="","",IF(K309&lt;=0,"Paid",IF(AND(G309&lt;&gt;"",TODAY()&gt;G309),"Overdue",IF(N(I309)&gt;0,"Partial","Open"))))</f>
        <v/>
      </c>
      <c r="M309" s="66" t="str">
        <f aca="true">IF(OR(E309="",G309=""),"",IF(K309&lt;=0,IF(H309="","",MAX(0,H309-G309)),MAX(0,TODAY()-G309)))</f>
        <v/>
      </c>
      <c r="N309" s="78" t="str">
        <f aca="true">IF(OR(E309="",G309=""),"",IF(K309&lt;=0,"",IF(TODAY()&lt;=G309,"Not due yet",IF(TODAY()-G309&lt;=30,"1-30 days late",IF(TODAY()-G309&lt;=60,"31-60 days late",IF(TODAY()-G309&lt;=90,"61-90 days late","90+ days late"))))))</f>
        <v/>
      </c>
      <c r="O309" s="66" t="str">
        <f aca="false">IF(OR(H309="",B309="",K309&gt;0),"",H309-B309)</f>
        <v/>
      </c>
    </row>
    <row r="310" customFormat="false" ht="15" hidden="false" customHeight="false" outlineLevel="0" collapsed="false">
      <c r="A310" s="51"/>
      <c r="B310" s="65"/>
      <c r="C310" s="51"/>
      <c r="D310" s="51"/>
      <c r="E310" s="76"/>
      <c r="F310" s="66" t="str">
        <f aca="false">IF(C310="","",IFERROR(1/(1/INDEX(Clients!$H$6:$H$25,MATCH(C310,Clients!$B$6:$B$25,0))),Settings!$C$10))</f>
        <v/>
      </c>
      <c r="G310" s="77" t="str">
        <f aca="false">IF(OR(B310="",F310=""),"",B310+F310)</f>
        <v/>
      </c>
      <c r="H310" s="65"/>
      <c r="I310" s="76"/>
      <c r="J310" s="51"/>
      <c r="K310" s="73" t="str">
        <f aca="false">IF(E310="","",E310-N(I310))</f>
        <v/>
      </c>
      <c r="L310" s="78" t="str">
        <f aca="true">IF(E310="","",IF(K310&lt;=0,"Paid",IF(AND(G310&lt;&gt;"",TODAY()&gt;G310),"Overdue",IF(N(I310)&gt;0,"Partial","Open"))))</f>
        <v/>
      </c>
      <c r="M310" s="66" t="str">
        <f aca="true">IF(OR(E310="",G310=""),"",IF(K310&lt;=0,IF(H310="","",MAX(0,H310-G310)),MAX(0,TODAY()-G310)))</f>
        <v/>
      </c>
      <c r="N310" s="78" t="str">
        <f aca="true">IF(OR(E310="",G310=""),"",IF(K310&lt;=0,"",IF(TODAY()&lt;=G310,"Not due yet",IF(TODAY()-G310&lt;=30,"1-30 days late",IF(TODAY()-G310&lt;=60,"31-60 days late",IF(TODAY()-G310&lt;=90,"61-90 days late","90+ days late"))))))</f>
        <v/>
      </c>
      <c r="O310" s="66" t="str">
        <f aca="false">IF(OR(H310="",B310="",K310&gt;0),"",H310-B310)</f>
        <v/>
      </c>
    </row>
    <row r="311" customFormat="false" ht="15" hidden="false" customHeight="false" outlineLevel="0" collapsed="false">
      <c r="A311" s="51"/>
      <c r="B311" s="65"/>
      <c r="C311" s="51"/>
      <c r="D311" s="51"/>
      <c r="E311" s="76"/>
      <c r="F311" s="66" t="str">
        <f aca="false">IF(C311="","",IFERROR(1/(1/INDEX(Clients!$H$6:$H$25,MATCH(C311,Clients!$B$6:$B$25,0))),Settings!$C$10))</f>
        <v/>
      </c>
      <c r="G311" s="77" t="str">
        <f aca="false">IF(OR(B311="",F311=""),"",B311+F311)</f>
        <v/>
      </c>
      <c r="H311" s="65"/>
      <c r="I311" s="76"/>
      <c r="J311" s="51"/>
      <c r="K311" s="73" t="str">
        <f aca="false">IF(E311="","",E311-N(I311))</f>
        <v/>
      </c>
      <c r="L311" s="78" t="str">
        <f aca="true">IF(E311="","",IF(K311&lt;=0,"Paid",IF(AND(G311&lt;&gt;"",TODAY()&gt;G311),"Overdue",IF(N(I311)&gt;0,"Partial","Open"))))</f>
        <v/>
      </c>
      <c r="M311" s="66" t="str">
        <f aca="true">IF(OR(E311="",G311=""),"",IF(K311&lt;=0,IF(H311="","",MAX(0,H311-G311)),MAX(0,TODAY()-G311)))</f>
        <v/>
      </c>
      <c r="N311" s="78" t="str">
        <f aca="true">IF(OR(E311="",G311=""),"",IF(K311&lt;=0,"",IF(TODAY()&lt;=G311,"Not due yet",IF(TODAY()-G311&lt;=30,"1-30 days late",IF(TODAY()-G311&lt;=60,"31-60 days late",IF(TODAY()-G311&lt;=90,"61-90 days late","90+ days late"))))))</f>
        <v/>
      </c>
      <c r="O311" s="66" t="str">
        <f aca="false">IF(OR(H311="",B311="",K311&gt;0),"",H311-B311)</f>
        <v/>
      </c>
    </row>
    <row r="312" customFormat="false" ht="15" hidden="false" customHeight="false" outlineLevel="0" collapsed="false">
      <c r="A312" s="51"/>
      <c r="B312" s="65"/>
      <c r="C312" s="51"/>
      <c r="D312" s="51"/>
      <c r="E312" s="76"/>
      <c r="F312" s="66" t="str">
        <f aca="false">IF(C312="","",IFERROR(1/(1/INDEX(Clients!$H$6:$H$25,MATCH(C312,Clients!$B$6:$B$25,0))),Settings!$C$10))</f>
        <v/>
      </c>
      <c r="G312" s="77" t="str">
        <f aca="false">IF(OR(B312="",F312=""),"",B312+F312)</f>
        <v/>
      </c>
      <c r="H312" s="65"/>
      <c r="I312" s="76"/>
      <c r="J312" s="51"/>
      <c r="K312" s="73" t="str">
        <f aca="false">IF(E312="","",E312-N(I312))</f>
        <v/>
      </c>
      <c r="L312" s="78" t="str">
        <f aca="true">IF(E312="","",IF(K312&lt;=0,"Paid",IF(AND(G312&lt;&gt;"",TODAY()&gt;G312),"Overdue",IF(N(I312)&gt;0,"Partial","Open"))))</f>
        <v/>
      </c>
      <c r="M312" s="66" t="str">
        <f aca="true">IF(OR(E312="",G312=""),"",IF(K312&lt;=0,IF(H312="","",MAX(0,H312-G312)),MAX(0,TODAY()-G312)))</f>
        <v/>
      </c>
      <c r="N312" s="78" t="str">
        <f aca="true">IF(OR(E312="",G312=""),"",IF(K312&lt;=0,"",IF(TODAY()&lt;=G312,"Not due yet",IF(TODAY()-G312&lt;=30,"1-30 days late",IF(TODAY()-G312&lt;=60,"31-60 days late",IF(TODAY()-G312&lt;=90,"61-90 days late","90+ days late"))))))</f>
        <v/>
      </c>
      <c r="O312" s="66" t="str">
        <f aca="false">IF(OR(H312="",B312="",K312&gt;0),"",H312-B312)</f>
        <v/>
      </c>
    </row>
    <row r="313" customFormat="false" ht="15" hidden="false" customHeight="false" outlineLevel="0" collapsed="false">
      <c r="A313" s="51"/>
      <c r="B313" s="65"/>
      <c r="C313" s="51"/>
      <c r="D313" s="51"/>
      <c r="E313" s="76"/>
      <c r="F313" s="66" t="str">
        <f aca="false">IF(C313="","",IFERROR(1/(1/INDEX(Clients!$H$6:$H$25,MATCH(C313,Clients!$B$6:$B$25,0))),Settings!$C$10))</f>
        <v/>
      </c>
      <c r="G313" s="77" t="str">
        <f aca="false">IF(OR(B313="",F313=""),"",B313+F313)</f>
        <v/>
      </c>
      <c r="H313" s="65"/>
      <c r="I313" s="76"/>
      <c r="J313" s="51"/>
      <c r="K313" s="73" t="str">
        <f aca="false">IF(E313="","",E313-N(I313))</f>
        <v/>
      </c>
      <c r="L313" s="78" t="str">
        <f aca="true">IF(E313="","",IF(K313&lt;=0,"Paid",IF(AND(G313&lt;&gt;"",TODAY()&gt;G313),"Overdue",IF(N(I313)&gt;0,"Partial","Open"))))</f>
        <v/>
      </c>
      <c r="M313" s="66" t="str">
        <f aca="true">IF(OR(E313="",G313=""),"",IF(K313&lt;=0,IF(H313="","",MAX(0,H313-G313)),MAX(0,TODAY()-G313)))</f>
        <v/>
      </c>
      <c r="N313" s="78" t="str">
        <f aca="true">IF(OR(E313="",G313=""),"",IF(K313&lt;=0,"",IF(TODAY()&lt;=G313,"Not due yet",IF(TODAY()-G313&lt;=30,"1-30 days late",IF(TODAY()-G313&lt;=60,"31-60 days late",IF(TODAY()-G313&lt;=90,"61-90 days late","90+ days late"))))))</f>
        <v/>
      </c>
      <c r="O313" s="66" t="str">
        <f aca="false">IF(OR(H313="",B313="",K313&gt;0),"",H313-B313)</f>
        <v/>
      </c>
    </row>
    <row r="314" customFormat="false" ht="15" hidden="false" customHeight="false" outlineLevel="0" collapsed="false">
      <c r="A314" s="51"/>
      <c r="B314" s="65"/>
      <c r="C314" s="51"/>
      <c r="D314" s="51"/>
      <c r="E314" s="76"/>
      <c r="F314" s="66" t="str">
        <f aca="false">IF(C314="","",IFERROR(1/(1/INDEX(Clients!$H$6:$H$25,MATCH(C314,Clients!$B$6:$B$25,0))),Settings!$C$10))</f>
        <v/>
      </c>
      <c r="G314" s="77" t="str">
        <f aca="false">IF(OR(B314="",F314=""),"",B314+F314)</f>
        <v/>
      </c>
      <c r="H314" s="65"/>
      <c r="I314" s="76"/>
      <c r="J314" s="51"/>
      <c r="K314" s="73" t="str">
        <f aca="false">IF(E314="","",E314-N(I314))</f>
        <v/>
      </c>
      <c r="L314" s="78" t="str">
        <f aca="true">IF(E314="","",IF(K314&lt;=0,"Paid",IF(AND(G314&lt;&gt;"",TODAY()&gt;G314),"Overdue",IF(N(I314)&gt;0,"Partial","Open"))))</f>
        <v/>
      </c>
      <c r="M314" s="66" t="str">
        <f aca="true">IF(OR(E314="",G314=""),"",IF(K314&lt;=0,IF(H314="","",MAX(0,H314-G314)),MAX(0,TODAY()-G314)))</f>
        <v/>
      </c>
      <c r="N314" s="78" t="str">
        <f aca="true">IF(OR(E314="",G314=""),"",IF(K314&lt;=0,"",IF(TODAY()&lt;=G314,"Not due yet",IF(TODAY()-G314&lt;=30,"1-30 days late",IF(TODAY()-G314&lt;=60,"31-60 days late",IF(TODAY()-G314&lt;=90,"61-90 days late","90+ days late"))))))</f>
        <v/>
      </c>
      <c r="O314" s="66" t="str">
        <f aca="false">IF(OR(H314="",B314="",K314&gt;0),"",H314-B314)</f>
        <v/>
      </c>
    </row>
    <row r="315" customFormat="false" ht="15" hidden="false" customHeight="false" outlineLevel="0" collapsed="false">
      <c r="A315" s="51"/>
      <c r="B315" s="65"/>
      <c r="C315" s="51"/>
      <c r="D315" s="51"/>
      <c r="E315" s="76"/>
      <c r="F315" s="66" t="str">
        <f aca="false">IF(C315="","",IFERROR(1/(1/INDEX(Clients!$H$6:$H$25,MATCH(C315,Clients!$B$6:$B$25,0))),Settings!$C$10))</f>
        <v/>
      </c>
      <c r="G315" s="77" t="str">
        <f aca="false">IF(OR(B315="",F315=""),"",B315+F315)</f>
        <v/>
      </c>
      <c r="H315" s="65"/>
      <c r="I315" s="76"/>
      <c r="J315" s="51"/>
      <c r="K315" s="73" t="str">
        <f aca="false">IF(E315="","",E315-N(I315))</f>
        <v/>
      </c>
      <c r="L315" s="78" t="str">
        <f aca="true">IF(E315="","",IF(K315&lt;=0,"Paid",IF(AND(G315&lt;&gt;"",TODAY()&gt;G315),"Overdue",IF(N(I315)&gt;0,"Partial","Open"))))</f>
        <v/>
      </c>
      <c r="M315" s="66" t="str">
        <f aca="true">IF(OR(E315="",G315=""),"",IF(K315&lt;=0,IF(H315="","",MAX(0,H315-G315)),MAX(0,TODAY()-G315)))</f>
        <v/>
      </c>
      <c r="N315" s="78" t="str">
        <f aca="true">IF(OR(E315="",G315=""),"",IF(K315&lt;=0,"",IF(TODAY()&lt;=G315,"Not due yet",IF(TODAY()-G315&lt;=30,"1-30 days late",IF(TODAY()-G315&lt;=60,"31-60 days late",IF(TODAY()-G315&lt;=90,"61-90 days late","90+ days late"))))))</f>
        <v/>
      </c>
      <c r="O315" s="66" t="str">
        <f aca="false">IF(OR(H315="",B315="",K315&gt;0),"",H315-B315)</f>
        <v/>
      </c>
    </row>
    <row r="316" customFormat="false" ht="15" hidden="false" customHeight="false" outlineLevel="0" collapsed="false">
      <c r="A316" s="51"/>
      <c r="B316" s="65"/>
      <c r="C316" s="51"/>
      <c r="D316" s="51"/>
      <c r="E316" s="76"/>
      <c r="F316" s="66" t="str">
        <f aca="false">IF(C316="","",IFERROR(1/(1/INDEX(Clients!$H$6:$H$25,MATCH(C316,Clients!$B$6:$B$25,0))),Settings!$C$10))</f>
        <v/>
      </c>
      <c r="G316" s="77" t="str">
        <f aca="false">IF(OR(B316="",F316=""),"",B316+F316)</f>
        <v/>
      </c>
      <c r="H316" s="65"/>
      <c r="I316" s="76"/>
      <c r="J316" s="51"/>
      <c r="K316" s="73" t="str">
        <f aca="false">IF(E316="","",E316-N(I316))</f>
        <v/>
      </c>
      <c r="L316" s="78" t="str">
        <f aca="true">IF(E316="","",IF(K316&lt;=0,"Paid",IF(AND(G316&lt;&gt;"",TODAY()&gt;G316),"Overdue",IF(N(I316)&gt;0,"Partial","Open"))))</f>
        <v/>
      </c>
      <c r="M316" s="66" t="str">
        <f aca="true">IF(OR(E316="",G316=""),"",IF(K316&lt;=0,IF(H316="","",MAX(0,H316-G316)),MAX(0,TODAY()-G316)))</f>
        <v/>
      </c>
      <c r="N316" s="78" t="str">
        <f aca="true">IF(OR(E316="",G316=""),"",IF(K316&lt;=0,"",IF(TODAY()&lt;=G316,"Not due yet",IF(TODAY()-G316&lt;=30,"1-30 days late",IF(TODAY()-G316&lt;=60,"31-60 days late",IF(TODAY()-G316&lt;=90,"61-90 days late","90+ days late"))))))</f>
        <v/>
      </c>
      <c r="O316" s="66" t="str">
        <f aca="false">IF(OR(H316="",B316="",K316&gt;0),"",H316-B316)</f>
        <v/>
      </c>
    </row>
    <row r="317" customFormat="false" ht="15" hidden="false" customHeight="false" outlineLevel="0" collapsed="false">
      <c r="A317" s="51"/>
      <c r="B317" s="65"/>
      <c r="C317" s="51"/>
      <c r="D317" s="51"/>
      <c r="E317" s="76"/>
      <c r="F317" s="66" t="str">
        <f aca="false">IF(C317="","",IFERROR(1/(1/INDEX(Clients!$H$6:$H$25,MATCH(C317,Clients!$B$6:$B$25,0))),Settings!$C$10))</f>
        <v/>
      </c>
      <c r="G317" s="77" t="str">
        <f aca="false">IF(OR(B317="",F317=""),"",B317+F317)</f>
        <v/>
      </c>
      <c r="H317" s="65"/>
      <c r="I317" s="76"/>
      <c r="J317" s="51"/>
      <c r="K317" s="73" t="str">
        <f aca="false">IF(E317="","",E317-N(I317))</f>
        <v/>
      </c>
      <c r="L317" s="78" t="str">
        <f aca="true">IF(E317="","",IF(K317&lt;=0,"Paid",IF(AND(G317&lt;&gt;"",TODAY()&gt;G317),"Overdue",IF(N(I317)&gt;0,"Partial","Open"))))</f>
        <v/>
      </c>
      <c r="M317" s="66" t="str">
        <f aca="true">IF(OR(E317="",G317=""),"",IF(K317&lt;=0,IF(H317="","",MAX(0,H317-G317)),MAX(0,TODAY()-G317)))</f>
        <v/>
      </c>
      <c r="N317" s="78" t="str">
        <f aca="true">IF(OR(E317="",G317=""),"",IF(K317&lt;=0,"",IF(TODAY()&lt;=G317,"Not due yet",IF(TODAY()-G317&lt;=30,"1-30 days late",IF(TODAY()-G317&lt;=60,"31-60 days late",IF(TODAY()-G317&lt;=90,"61-90 days late","90+ days late"))))))</f>
        <v/>
      </c>
      <c r="O317" s="66" t="str">
        <f aca="false">IF(OR(H317="",B317="",K317&gt;0),"",H317-B317)</f>
        <v/>
      </c>
    </row>
    <row r="318" customFormat="false" ht="15" hidden="false" customHeight="false" outlineLevel="0" collapsed="false">
      <c r="A318" s="51"/>
      <c r="B318" s="65"/>
      <c r="C318" s="51"/>
      <c r="D318" s="51"/>
      <c r="E318" s="76"/>
      <c r="F318" s="66" t="str">
        <f aca="false">IF(C318="","",IFERROR(1/(1/INDEX(Clients!$H$6:$H$25,MATCH(C318,Clients!$B$6:$B$25,0))),Settings!$C$10))</f>
        <v/>
      </c>
      <c r="G318" s="77" t="str">
        <f aca="false">IF(OR(B318="",F318=""),"",B318+F318)</f>
        <v/>
      </c>
      <c r="H318" s="65"/>
      <c r="I318" s="76"/>
      <c r="J318" s="51"/>
      <c r="K318" s="73" t="str">
        <f aca="false">IF(E318="","",E318-N(I318))</f>
        <v/>
      </c>
      <c r="L318" s="78" t="str">
        <f aca="true">IF(E318="","",IF(K318&lt;=0,"Paid",IF(AND(G318&lt;&gt;"",TODAY()&gt;G318),"Overdue",IF(N(I318)&gt;0,"Partial","Open"))))</f>
        <v/>
      </c>
      <c r="M318" s="66" t="str">
        <f aca="true">IF(OR(E318="",G318=""),"",IF(K318&lt;=0,IF(H318="","",MAX(0,H318-G318)),MAX(0,TODAY()-G318)))</f>
        <v/>
      </c>
      <c r="N318" s="78" t="str">
        <f aca="true">IF(OR(E318="",G318=""),"",IF(K318&lt;=0,"",IF(TODAY()&lt;=G318,"Not due yet",IF(TODAY()-G318&lt;=30,"1-30 days late",IF(TODAY()-G318&lt;=60,"31-60 days late",IF(TODAY()-G318&lt;=90,"61-90 days late","90+ days late"))))))</f>
        <v/>
      </c>
      <c r="O318" s="66" t="str">
        <f aca="false">IF(OR(H318="",B318="",K318&gt;0),"",H318-B318)</f>
        <v/>
      </c>
    </row>
    <row r="319" customFormat="false" ht="15" hidden="false" customHeight="false" outlineLevel="0" collapsed="false">
      <c r="A319" s="51"/>
      <c r="B319" s="65"/>
      <c r="C319" s="51"/>
      <c r="D319" s="51"/>
      <c r="E319" s="76"/>
      <c r="F319" s="66" t="str">
        <f aca="false">IF(C319="","",IFERROR(1/(1/INDEX(Clients!$H$6:$H$25,MATCH(C319,Clients!$B$6:$B$25,0))),Settings!$C$10))</f>
        <v/>
      </c>
      <c r="G319" s="77" t="str">
        <f aca="false">IF(OR(B319="",F319=""),"",B319+F319)</f>
        <v/>
      </c>
      <c r="H319" s="65"/>
      <c r="I319" s="76"/>
      <c r="J319" s="51"/>
      <c r="K319" s="73" t="str">
        <f aca="false">IF(E319="","",E319-N(I319))</f>
        <v/>
      </c>
      <c r="L319" s="78" t="str">
        <f aca="true">IF(E319="","",IF(K319&lt;=0,"Paid",IF(AND(G319&lt;&gt;"",TODAY()&gt;G319),"Overdue",IF(N(I319)&gt;0,"Partial","Open"))))</f>
        <v/>
      </c>
      <c r="M319" s="66" t="str">
        <f aca="true">IF(OR(E319="",G319=""),"",IF(K319&lt;=0,IF(H319="","",MAX(0,H319-G319)),MAX(0,TODAY()-G319)))</f>
        <v/>
      </c>
      <c r="N319" s="78" t="str">
        <f aca="true">IF(OR(E319="",G319=""),"",IF(K319&lt;=0,"",IF(TODAY()&lt;=G319,"Not due yet",IF(TODAY()-G319&lt;=30,"1-30 days late",IF(TODAY()-G319&lt;=60,"31-60 days late",IF(TODAY()-G319&lt;=90,"61-90 days late","90+ days late"))))))</f>
        <v/>
      </c>
      <c r="O319" s="66" t="str">
        <f aca="false">IF(OR(H319="",B319="",K319&gt;0),"",H319-B319)</f>
        <v/>
      </c>
    </row>
    <row r="320" customFormat="false" ht="15" hidden="false" customHeight="false" outlineLevel="0" collapsed="false">
      <c r="A320" s="51"/>
      <c r="B320" s="65"/>
      <c r="C320" s="51"/>
      <c r="D320" s="51"/>
      <c r="E320" s="76"/>
      <c r="F320" s="66" t="str">
        <f aca="false">IF(C320="","",IFERROR(1/(1/INDEX(Clients!$H$6:$H$25,MATCH(C320,Clients!$B$6:$B$25,0))),Settings!$C$10))</f>
        <v/>
      </c>
      <c r="G320" s="77" t="str">
        <f aca="false">IF(OR(B320="",F320=""),"",B320+F320)</f>
        <v/>
      </c>
      <c r="H320" s="65"/>
      <c r="I320" s="76"/>
      <c r="J320" s="51"/>
      <c r="K320" s="73" t="str">
        <f aca="false">IF(E320="","",E320-N(I320))</f>
        <v/>
      </c>
      <c r="L320" s="78" t="str">
        <f aca="true">IF(E320="","",IF(K320&lt;=0,"Paid",IF(AND(G320&lt;&gt;"",TODAY()&gt;G320),"Overdue",IF(N(I320)&gt;0,"Partial","Open"))))</f>
        <v/>
      </c>
      <c r="M320" s="66" t="str">
        <f aca="true">IF(OR(E320="",G320=""),"",IF(K320&lt;=0,IF(H320="","",MAX(0,H320-G320)),MAX(0,TODAY()-G320)))</f>
        <v/>
      </c>
      <c r="N320" s="78" t="str">
        <f aca="true">IF(OR(E320="",G320=""),"",IF(K320&lt;=0,"",IF(TODAY()&lt;=G320,"Not due yet",IF(TODAY()-G320&lt;=30,"1-30 days late",IF(TODAY()-G320&lt;=60,"31-60 days late",IF(TODAY()-G320&lt;=90,"61-90 days late","90+ days late"))))))</f>
        <v/>
      </c>
      <c r="O320" s="66" t="str">
        <f aca="false">IF(OR(H320="",B320="",K320&gt;0),"",H320-B320)</f>
        <v/>
      </c>
    </row>
    <row r="321" customFormat="false" ht="15" hidden="false" customHeight="false" outlineLevel="0" collapsed="false">
      <c r="A321" s="51"/>
      <c r="B321" s="65"/>
      <c r="C321" s="51"/>
      <c r="D321" s="51"/>
      <c r="E321" s="76"/>
      <c r="F321" s="66" t="str">
        <f aca="false">IF(C321="","",IFERROR(1/(1/INDEX(Clients!$H$6:$H$25,MATCH(C321,Clients!$B$6:$B$25,0))),Settings!$C$10))</f>
        <v/>
      </c>
      <c r="G321" s="77" t="str">
        <f aca="false">IF(OR(B321="",F321=""),"",B321+F321)</f>
        <v/>
      </c>
      <c r="H321" s="65"/>
      <c r="I321" s="76"/>
      <c r="J321" s="51"/>
      <c r="K321" s="73" t="str">
        <f aca="false">IF(E321="","",E321-N(I321))</f>
        <v/>
      </c>
      <c r="L321" s="78" t="str">
        <f aca="true">IF(E321="","",IF(K321&lt;=0,"Paid",IF(AND(G321&lt;&gt;"",TODAY()&gt;G321),"Overdue",IF(N(I321)&gt;0,"Partial","Open"))))</f>
        <v/>
      </c>
      <c r="M321" s="66" t="str">
        <f aca="true">IF(OR(E321="",G321=""),"",IF(K321&lt;=0,IF(H321="","",MAX(0,H321-G321)),MAX(0,TODAY()-G321)))</f>
        <v/>
      </c>
      <c r="N321" s="78" t="str">
        <f aca="true">IF(OR(E321="",G321=""),"",IF(K321&lt;=0,"",IF(TODAY()&lt;=G321,"Not due yet",IF(TODAY()-G321&lt;=30,"1-30 days late",IF(TODAY()-G321&lt;=60,"31-60 days late",IF(TODAY()-G321&lt;=90,"61-90 days late","90+ days late"))))))</f>
        <v/>
      </c>
      <c r="O321" s="66" t="str">
        <f aca="false">IF(OR(H321="",B321="",K321&gt;0),"",H321-B321)</f>
        <v/>
      </c>
    </row>
    <row r="322" customFormat="false" ht="15" hidden="false" customHeight="false" outlineLevel="0" collapsed="false">
      <c r="A322" s="51"/>
      <c r="B322" s="65"/>
      <c r="C322" s="51"/>
      <c r="D322" s="51"/>
      <c r="E322" s="76"/>
      <c r="F322" s="66" t="str">
        <f aca="false">IF(C322="","",IFERROR(1/(1/INDEX(Clients!$H$6:$H$25,MATCH(C322,Clients!$B$6:$B$25,0))),Settings!$C$10))</f>
        <v/>
      </c>
      <c r="G322" s="77" t="str">
        <f aca="false">IF(OR(B322="",F322=""),"",B322+F322)</f>
        <v/>
      </c>
      <c r="H322" s="65"/>
      <c r="I322" s="76"/>
      <c r="J322" s="51"/>
      <c r="K322" s="73" t="str">
        <f aca="false">IF(E322="","",E322-N(I322))</f>
        <v/>
      </c>
      <c r="L322" s="78" t="str">
        <f aca="true">IF(E322="","",IF(K322&lt;=0,"Paid",IF(AND(G322&lt;&gt;"",TODAY()&gt;G322),"Overdue",IF(N(I322)&gt;0,"Partial","Open"))))</f>
        <v/>
      </c>
      <c r="M322" s="66" t="str">
        <f aca="true">IF(OR(E322="",G322=""),"",IF(K322&lt;=0,IF(H322="","",MAX(0,H322-G322)),MAX(0,TODAY()-G322)))</f>
        <v/>
      </c>
      <c r="N322" s="78" t="str">
        <f aca="true">IF(OR(E322="",G322=""),"",IF(K322&lt;=0,"",IF(TODAY()&lt;=G322,"Not due yet",IF(TODAY()-G322&lt;=30,"1-30 days late",IF(TODAY()-G322&lt;=60,"31-60 days late",IF(TODAY()-G322&lt;=90,"61-90 days late","90+ days late"))))))</f>
        <v/>
      </c>
      <c r="O322" s="66" t="str">
        <f aca="false">IF(OR(H322="",B322="",K322&gt;0),"",H322-B322)</f>
        <v/>
      </c>
    </row>
    <row r="323" customFormat="false" ht="15" hidden="false" customHeight="false" outlineLevel="0" collapsed="false">
      <c r="A323" s="51"/>
      <c r="B323" s="65"/>
      <c r="C323" s="51"/>
      <c r="D323" s="51"/>
      <c r="E323" s="76"/>
      <c r="F323" s="66" t="str">
        <f aca="false">IF(C323="","",IFERROR(1/(1/INDEX(Clients!$H$6:$H$25,MATCH(C323,Clients!$B$6:$B$25,0))),Settings!$C$10))</f>
        <v/>
      </c>
      <c r="G323" s="77" t="str">
        <f aca="false">IF(OR(B323="",F323=""),"",B323+F323)</f>
        <v/>
      </c>
      <c r="H323" s="65"/>
      <c r="I323" s="76"/>
      <c r="J323" s="51"/>
      <c r="K323" s="73" t="str">
        <f aca="false">IF(E323="","",E323-N(I323))</f>
        <v/>
      </c>
      <c r="L323" s="78" t="str">
        <f aca="true">IF(E323="","",IF(K323&lt;=0,"Paid",IF(AND(G323&lt;&gt;"",TODAY()&gt;G323),"Overdue",IF(N(I323)&gt;0,"Partial","Open"))))</f>
        <v/>
      </c>
      <c r="M323" s="66" t="str">
        <f aca="true">IF(OR(E323="",G323=""),"",IF(K323&lt;=0,IF(H323="","",MAX(0,H323-G323)),MAX(0,TODAY()-G323)))</f>
        <v/>
      </c>
      <c r="N323" s="78" t="str">
        <f aca="true">IF(OR(E323="",G323=""),"",IF(K323&lt;=0,"",IF(TODAY()&lt;=G323,"Not due yet",IF(TODAY()-G323&lt;=30,"1-30 days late",IF(TODAY()-G323&lt;=60,"31-60 days late",IF(TODAY()-G323&lt;=90,"61-90 days late","90+ days late"))))))</f>
        <v/>
      </c>
      <c r="O323" s="66" t="str">
        <f aca="false">IF(OR(H323="",B323="",K323&gt;0),"",H323-B323)</f>
        <v/>
      </c>
    </row>
    <row r="324" customFormat="false" ht="15" hidden="false" customHeight="false" outlineLevel="0" collapsed="false">
      <c r="A324" s="51"/>
      <c r="B324" s="65"/>
      <c r="C324" s="51"/>
      <c r="D324" s="51"/>
      <c r="E324" s="76"/>
      <c r="F324" s="66" t="str">
        <f aca="false">IF(C324="","",IFERROR(1/(1/INDEX(Clients!$H$6:$H$25,MATCH(C324,Clients!$B$6:$B$25,0))),Settings!$C$10))</f>
        <v/>
      </c>
      <c r="G324" s="77" t="str">
        <f aca="false">IF(OR(B324="",F324=""),"",B324+F324)</f>
        <v/>
      </c>
      <c r="H324" s="65"/>
      <c r="I324" s="76"/>
      <c r="J324" s="51"/>
      <c r="K324" s="73" t="str">
        <f aca="false">IF(E324="","",E324-N(I324))</f>
        <v/>
      </c>
      <c r="L324" s="78" t="str">
        <f aca="true">IF(E324="","",IF(K324&lt;=0,"Paid",IF(AND(G324&lt;&gt;"",TODAY()&gt;G324),"Overdue",IF(N(I324)&gt;0,"Partial","Open"))))</f>
        <v/>
      </c>
      <c r="M324" s="66" t="str">
        <f aca="true">IF(OR(E324="",G324=""),"",IF(K324&lt;=0,IF(H324="","",MAX(0,H324-G324)),MAX(0,TODAY()-G324)))</f>
        <v/>
      </c>
      <c r="N324" s="78" t="str">
        <f aca="true">IF(OR(E324="",G324=""),"",IF(K324&lt;=0,"",IF(TODAY()&lt;=G324,"Not due yet",IF(TODAY()-G324&lt;=30,"1-30 days late",IF(TODAY()-G324&lt;=60,"31-60 days late",IF(TODAY()-G324&lt;=90,"61-90 days late","90+ days late"))))))</f>
        <v/>
      </c>
      <c r="O324" s="66" t="str">
        <f aca="false">IF(OR(H324="",B324="",K324&gt;0),"",H324-B324)</f>
        <v/>
      </c>
    </row>
    <row r="325" customFormat="false" ht="15" hidden="false" customHeight="false" outlineLevel="0" collapsed="false">
      <c r="A325" s="51"/>
      <c r="B325" s="65"/>
      <c r="C325" s="51"/>
      <c r="D325" s="51"/>
      <c r="E325" s="76"/>
      <c r="F325" s="66" t="str">
        <f aca="false">IF(C325="","",IFERROR(1/(1/INDEX(Clients!$H$6:$H$25,MATCH(C325,Clients!$B$6:$B$25,0))),Settings!$C$10))</f>
        <v/>
      </c>
      <c r="G325" s="77" t="str">
        <f aca="false">IF(OR(B325="",F325=""),"",B325+F325)</f>
        <v/>
      </c>
      <c r="H325" s="65"/>
      <c r="I325" s="76"/>
      <c r="J325" s="51"/>
      <c r="K325" s="73" t="str">
        <f aca="false">IF(E325="","",E325-N(I325))</f>
        <v/>
      </c>
      <c r="L325" s="78" t="str">
        <f aca="true">IF(E325="","",IF(K325&lt;=0,"Paid",IF(AND(G325&lt;&gt;"",TODAY()&gt;G325),"Overdue",IF(N(I325)&gt;0,"Partial","Open"))))</f>
        <v/>
      </c>
      <c r="M325" s="66" t="str">
        <f aca="true">IF(OR(E325="",G325=""),"",IF(K325&lt;=0,IF(H325="","",MAX(0,H325-G325)),MAX(0,TODAY()-G325)))</f>
        <v/>
      </c>
      <c r="N325" s="78" t="str">
        <f aca="true">IF(OR(E325="",G325=""),"",IF(K325&lt;=0,"",IF(TODAY()&lt;=G325,"Not due yet",IF(TODAY()-G325&lt;=30,"1-30 days late",IF(TODAY()-G325&lt;=60,"31-60 days late",IF(TODAY()-G325&lt;=90,"61-90 days late","90+ days late"))))))</f>
        <v/>
      </c>
      <c r="O325" s="66" t="str">
        <f aca="false">IF(OR(H325="",B325="",K325&gt;0),"",H325-B325)</f>
        <v/>
      </c>
    </row>
    <row r="326" customFormat="false" ht="15" hidden="false" customHeight="false" outlineLevel="0" collapsed="false">
      <c r="A326" s="51"/>
      <c r="B326" s="65"/>
      <c r="C326" s="51"/>
      <c r="D326" s="51"/>
      <c r="E326" s="76"/>
      <c r="F326" s="66" t="str">
        <f aca="false">IF(C326="","",IFERROR(1/(1/INDEX(Clients!$H$6:$H$25,MATCH(C326,Clients!$B$6:$B$25,0))),Settings!$C$10))</f>
        <v/>
      </c>
      <c r="G326" s="77" t="str">
        <f aca="false">IF(OR(B326="",F326=""),"",B326+F326)</f>
        <v/>
      </c>
      <c r="H326" s="65"/>
      <c r="I326" s="76"/>
      <c r="J326" s="51"/>
      <c r="K326" s="73" t="str">
        <f aca="false">IF(E326="","",E326-N(I326))</f>
        <v/>
      </c>
      <c r="L326" s="78" t="str">
        <f aca="true">IF(E326="","",IF(K326&lt;=0,"Paid",IF(AND(G326&lt;&gt;"",TODAY()&gt;G326),"Overdue",IF(N(I326)&gt;0,"Partial","Open"))))</f>
        <v/>
      </c>
      <c r="M326" s="66" t="str">
        <f aca="true">IF(OR(E326="",G326=""),"",IF(K326&lt;=0,IF(H326="","",MAX(0,H326-G326)),MAX(0,TODAY()-G326)))</f>
        <v/>
      </c>
      <c r="N326" s="78" t="str">
        <f aca="true">IF(OR(E326="",G326=""),"",IF(K326&lt;=0,"",IF(TODAY()&lt;=G326,"Not due yet",IF(TODAY()-G326&lt;=30,"1-30 days late",IF(TODAY()-G326&lt;=60,"31-60 days late",IF(TODAY()-G326&lt;=90,"61-90 days late","90+ days late"))))))</f>
        <v/>
      </c>
      <c r="O326" s="66" t="str">
        <f aca="false">IF(OR(H326="",B326="",K326&gt;0),"",H326-B326)</f>
        <v/>
      </c>
    </row>
    <row r="327" customFormat="false" ht="15" hidden="false" customHeight="false" outlineLevel="0" collapsed="false">
      <c r="A327" s="51"/>
      <c r="B327" s="65"/>
      <c r="C327" s="51"/>
      <c r="D327" s="51"/>
      <c r="E327" s="76"/>
      <c r="F327" s="66" t="str">
        <f aca="false">IF(C327="","",IFERROR(1/(1/INDEX(Clients!$H$6:$H$25,MATCH(C327,Clients!$B$6:$B$25,0))),Settings!$C$10))</f>
        <v/>
      </c>
      <c r="G327" s="77" t="str">
        <f aca="false">IF(OR(B327="",F327=""),"",B327+F327)</f>
        <v/>
      </c>
      <c r="H327" s="65"/>
      <c r="I327" s="76"/>
      <c r="J327" s="51"/>
      <c r="K327" s="73" t="str">
        <f aca="false">IF(E327="","",E327-N(I327))</f>
        <v/>
      </c>
      <c r="L327" s="78" t="str">
        <f aca="true">IF(E327="","",IF(K327&lt;=0,"Paid",IF(AND(G327&lt;&gt;"",TODAY()&gt;G327),"Overdue",IF(N(I327)&gt;0,"Partial","Open"))))</f>
        <v/>
      </c>
      <c r="M327" s="66" t="str">
        <f aca="true">IF(OR(E327="",G327=""),"",IF(K327&lt;=0,IF(H327="","",MAX(0,H327-G327)),MAX(0,TODAY()-G327)))</f>
        <v/>
      </c>
      <c r="N327" s="78" t="str">
        <f aca="true">IF(OR(E327="",G327=""),"",IF(K327&lt;=0,"",IF(TODAY()&lt;=G327,"Not due yet",IF(TODAY()-G327&lt;=30,"1-30 days late",IF(TODAY()-G327&lt;=60,"31-60 days late",IF(TODAY()-G327&lt;=90,"61-90 days late","90+ days late"))))))</f>
        <v/>
      </c>
      <c r="O327" s="66" t="str">
        <f aca="false">IF(OR(H327="",B327="",K327&gt;0),"",H327-B327)</f>
        <v/>
      </c>
    </row>
    <row r="328" customFormat="false" ht="15" hidden="false" customHeight="false" outlineLevel="0" collapsed="false">
      <c r="A328" s="51"/>
      <c r="B328" s="65"/>
      <c r="C328" s="51"/>
      <c r="D328" s="51"/>
      <c r="E328" s="76"/>
      <c r="F328" s="66" t="str">
        <f aca="false">IF(C328="","",IFERROR(1/(1/INDEX(Clients!$H$6:$H$25,MATCH(C328,Clients!$B$6:$B$25,0))),Settings!$C$10))</f>
        <v/>
      </c>
      <c r="G328" s="77" t="str">
        <f aca="false">IF(OR(B328="",F328=""),"",B328+F328)</f>
        <v/>
      </c>
      <c r="H328" s="65"/>
      <c r="I328" s="76"/>
      <c r="J328" s="51"/>
      <c r="K328" s="73" t="str">
        <f aca="false">IF(E328="","",E328-N(I328))</f>
        <v/>
      </c>
      <c r="L328" s="78" t="str">
        <f aca="true">IF(E328="","",IF(K328&lt;=0,"Paid",IF(AND(G328&lt;&gt;"",TODAY()&gt;G328),"Overdue",IF(N(I328)&gt;0,"Partial","Open"))))</f>
        <v/>
      </c>
      <c r="M328" s="66" t="str">
        <f aca="true">IF(OR(E328="",G328=""),"",IF(K328&lt;=0,IF(H328="","",MAX(0,H328-G328)),MAX(0,TODAY()-G328)))</f>
        <v/>
      </c>
      <c r="N328" s="78" t="str">
        <f aca="true">IF(OR(E328="",G328=""),"",IF(K328&lt;=0,"",IF(TODAY()&lt;=G328,"Not due yet",IF(TODAY()-G328&lt;=30,"1-30 days late",IF(TODAY()-G328&lt;=60,"31-60 days late",IF(TODAY()-G328&lt;=90,"61-90 days late","90+ days late"))))))</f>
        <v/>
      </c>
      <c r="O328" s="66" t="str">
        <f aca="false">IF(OR(H328="",B328="",K328&gt;0),"",H328-B328)</f>
        <v/>
      </c>
    </row>
    <row r="329" customFormat="false" ht="15" hidden="false" customHeight="false" outlineLevel="0" collapsed="false">
      <c r="A329" s="51"/>
      <c r="B329" s="65"/>
      <c r="C329" s="51"/>
      <c r="D329" s="51"/>
      <c r="E329" s="76"/>
      <c r="F329" s="66" t="str">
        <f aca="false">IF(C329="","",IFERROR(1/(1/INDEX(Clients!$H$6:$H$25,MATCH(C329,Clients!$B$6:$B$25,0))),Settings!$C$10))</f>
        <v/>
      </c>
      <c r="G329" s="77" t="str">
        <f aca="false">IF(OR(B329="",F329=""),"",B329+F329)</f>
        <v/>
      </c>
      <c r="H329" s="65"/>
      <c r="I329" s="76"/>
      <c r="J329" s="51"/>
      <c r="K329" s="73" t="str">
        <f aca="false">IF(E329="","",E329-N(I329))</f>
        <v/>
      </c>
      <c r="L329" s="78" t="str">
        <f aca="true">IF(E329="","",IF(K329&lt;=0,"Paid",IF(AND(G329&lt;&gt;"",TODAY()&gt;G329),"Overdue",IF(N(I329)&gt;0,"Partial","Open"))))</f>
        <v/>
      </c>
      <c r="M329" s="66" t="str">
        <f aca="true">IF(OR(E329="",G329=""),"",IF(K329&lt;=0,IF(H329="","",MAX(0,H329-G329)),MAX(0,TODAY()-G329)))</f>
        <v/>
      </c>
      <c r="N329" s="78" t="str">
        <f aca="true">IF(OR(E329="",G329=""),"",IF(K329&lt;=0,"",IF(TODAY()&lt;=G329,"Not due yet",IF(TODAY()-G329&lt;=30,"1-30 days late",IF(TODAY()-G329&lt;=60,"31-60 days late",IF(TODAY()-G329&lt;=90,"61-90 days late","90+ days late"))))))</f>
        <v/>
      </c>
      <c r="O329" s="66" t="str">
        <f aca="false">IF(OR(H329="",B329="",K329&gt;0),"",H329-B329)</f>
        <v/>
      </c>
    </row>
    <row r="330" customFormat="false" ht="15" hidden="false" customHeight="false" outlineLevel="0" collapsed="false">
      <c r="A330" s="51"/>
      <c r="B330" s="65"/>
      <c r="C330" s="51"/>
      <c r="D330" s="51"/>
      <c r="E330" s="76"/>
      <c r="F330" s="66" t="str">
        <f aca="false">IF(C330="","",IFERROR(1/(1/INDEX(Clients!$H$6:$H$25,MATCH(C330,Clients!$B$6:$B$25,0))),Settings!$C$10))</f>
        <v/>
      </c>
      <c r="G330" s="77" t="str">
        <f aca="false">IF(OR(B330="",F330=""),"",B330+F330)</f>
        <v/>
      </c>
      <c r="H330" s="65"/>
      <c r="I330" s="76"/>
      <c r="J330" s="51"/>
      <c r="K330" s="73" t="str">
        <f aca="false">IF(E330="","",E330-N(I330))</f>
        <v/>
      </c>
      <c r="L330" s="78" t="str">
        <f aca="true">IF(E330="","",IF(K330&lt;=0,"Paid",IF(AND(G330&lt;&gt;"",TODAY()&gt;G330),"Overdue",IF(N(I330)&gt;0,"Partial","Open"))))</f>
        <v/>
      </c>
      <c r="M330" s="66" t="str">
        <f aca="true">IF(OR(E330="",G330=""),"",IF(K330&lt;=0,IF(H330="","",MAX(0,H330-G330)),MAX(0,TODAY()-G330)))</f>
        <v/>
      </c>
      <c r="N330" s="78" t="str">
        <f aca="true">IF(OR(E330="",G330=""),"",IF(K330&lt;=0,"",IF(TODAY()&lt;=G330,"Not due yet",IF(TODAY()-G330&lt;=30,"1-30 days late",IF(TODAY()-G330&lt;=60,"31-60 days late",IF(TODAY()-G330&lt;=90,"61-90 days late","90+ days late"))))))</f>
        <v/>
      </c>
      <c r="O330" s="66" t="str">
        <f aca="false">IF(OR(H330="",B330="",K330&gt;0),"",H330-B330)</f>
        <v/>
      </c>
    </row>
    <row r="331" customFormat="false" ht="15" hidden="false" customHeight="false" outlineLevel="0" collapsed="false">
      <c r="A331" s="51"/>
      <c r="B331" s="65"/>
      <c r="C331" s="51"/>
      <c r="D331" s="51"/>
      <c r="E331" s="76"/>
      <c r="F331" s="66" t="str">
        <f aca="false">IF(C331="","",IFERROR(1/(1/INDEX(Clients!$H$6:$H$25,MATCH(C331,Clients!$B$6:$B$25,0))),Settings!$C$10))</f>
        <v/>
      </c>
      <c r="G331" s="77" t="str">
        <f aca="false">IF(OR(B331="",F331=""),"",B331+F331)</f>
        <v/>
      </c>
      <c r="H331" s="65"/>
      <c r="I331" s="76"/>
      <c r="J331" s="51"/>
      <c r="K331" s="73" t="str">
        <f aca="false">IF(E331="","",E331-N(I331))</f>
        <v/>
      </c>
      <c r="L331" s="78" t="str">
        <f aca="true">IF(E331="","",IF(K331&lt;=0,"Paid",IF(AND(G331&lt;&gt;"",TODAY()&gt;G331),"Overdue",IF(N(I331)&gt;0,"Partial","Open"))))</f>
        <v/>
      </c>
      <c r="M331" s="66" t="str">
        <f aca="true">IF(OR(E331="",G331=""),"",IF(K331&lt;=0,IF(H331="","",MAX(0,H331-G331)),MAX(0,TODAY()-G331)))</f>
        <v/>
      </c>
      <c r="N331" s="78" t="str">
        <f aca="true">IF(OR(E331="",G331=""),"",IF(K331&lt;=0,"",IF(TODAY()&lt;=G331,"Not due yet",IF(TODAY()-G331&lt;=30,"1-30 days late",IF(TODAY()-G331&lt;=60,"31-60 days late",IF(TODAY()-G331&lt;=90,"61-90 days late","90+ days late"))))))</f>
        <v/>
      </c>
      <c r="O331" s="66" t="str">
        <f aca="false">IF(OR(H331="",B331="",K331&gt;0),"",H331-B331)</f>
        <v/>
      </c>
    </row>
    <row r="332" customFormat="false" ht="15" hidden="false" customHeight="false" outlineLevel="0" collapsed="false">
      <c r="A332" s="51"/>
      <c r="B332" s="65"/>
      <c r="C332" s="51"/>
      <c r="D332" s="51"/>
      <c r="E332" s="76"/>
      <c r="F332" s="66" t="str">
        <f aca="false">IF(C332="","",IFERROR(1/(1/INDEX(Clients!$H$6:$H$25,MATCH(C332,Clients!$B$6:$B$25,0))),Settings!$C$10))</f>
        <v/>
      </c>
      <c r="G332" s="77" t="str">
        <f aca="false">IF(OR(B332="",F332=""),"",B332+F332)</f>
        <v/>
      </c>
      <c r="H332" s="65"/>
      <c r="I332" s="76"/>
      <c r="J332" s="51"/>
      <c r="K332" s="73" t="str">
        <f aca="false">IF(E332="","",E332-N(I332))</f>
        <v/>
      </c>
      <c r="L332" s="78" t="str">
        <f aca="true">IF(E332="","",IF(K332&lt;=0,"Paid",IF(AND(G332&lt;&gt;"",TODAY()&gt;G332),"Overdue",IF(N(I332)&gt;0,"Partial","Open"))))</f>
        <v/>
      </c>
      <c r="M332" s="66" t="str">
        <f aca="true">IF(OR(E332="",G332=""),"",IF(K332&lt;=0,IF(H332="","",MAX(0,H332-G332)),MAX(0,TODAY()-G332)))</f>
        <v/>
      </c>
      <c r="N332" s="78" t="str">
        <f aca="true">IF(OR(E332="",G332=""),"",IF(K332&lt;=0,"",IF(TODAY()&lt;=G332,"Not due yet",IF(TODAY()-G332&lt;=30,"1-30 days late",IF(TODAY()-G332&lt;=60,"31-60 days late",IF(TODAY()-G332&lt;=90,"61-90 days late","90+ days late"))))))</f>
        <v/>
      </c>
      <c r="O332" s="66" t="str">
        <f aca="false">IF(OR(H332="",B332="",K332&gt;0),"",H332-B332)</f>
        <v/>
      </c>
    </row>
    <row r="333" customFormat="false" ht="15" hidden="false" customHeight="false" outlineLevel="0" collapsed="false">
      <c r="A333" s="51"/>
      <c r="B333" s="65"/>
      <c r="C333" s="51"/>
      <c r="D333" s="51"/>
      <c r="E333" s="76"/>
      <c r="F333" s="66" t="str">
        <f aca="false">IF(C333="","",IFERROR(1/(1/INDEX(Clients!$H$6:$H$25,MATCH(C333,Clients!$B$6:$B$25,0))),Settings!$C$10))</f>
        <v/>
      </c>
      <c r="G333" s="77" t="str">
        <f aca="false">IF(OR(B333="",F333=""),"",B333+F333)</f>
        <v/>
      </c>
      <c r="H333" s="65"/>
      <c r="I333" s="76"/>
      <c r="J333" s="51"/>
      <c r="K333" s="73" t="str">
        <f aca="false">IF(E333="","",E333-N(I333))</f>
        <v/>
      </c>
      <c r="L333" s="78" t="str">
        <f aca="true">IF(E333="","",IF(K333&lt;=0,"Paid",IF(AND(G333&lt;&gt;"",TODAY()&gt;G333),"Overdue",IF(N(I333)&gt;0,"Partial","Open"))))</f>
        <v/>
      </c>
      <c r="M333" s="66" t="str">
        <f aca="true">IF(OR(E333="",G333=""),"",IF(K333&lt;=0,IF(H333="","",MAX(0,H333-G333)),MAX(0,TODAY()-G333)))</f>
        <v/>
      </c>
      <c r="N333" s="78" t="str">
        <f aca="true">IF(OR(E333="",G333=""),"",IF(K333&lt;=0,"",IF(TODAY()&lt;=G333,"Not due yet",IF(TODAY()-G333&lt;=30,"1-30 days late",IF(TODAY()-G333&lt;=60,"31-60 days late",IF(TODAY()-G333&lt;=90,"61-90 days late","90+ days late"))))))</f>
        <v/>
      </c>
      <c r="O333" s="66" t="str">
        <f aca="false">IF(OR(H333="",B333="",K333&gt;0),"",H333-B333)</f>
        <v/>
      </c>
    </row>
    <row r="334" customFormat="false" ht="15" hidden="false" customHeight="false" outlineLevel="0" collapsed="false">
      <c r="A334" s="51"/>
      <c r="B334" s="65"/>
      <c r="C334" s="51"/>
      <c r="D334" s="51"/>
      <c r="E334" s="76"/>
      <c r="F334" s="66" t="str">
        <f aca="false">IF(C334="","",IFERROR(1/(1/INDEX(Clients!$H$6:$H$25,MATCH(C334,Clients!$B$6:$B$25,0))),Settings!$C$10))</f>
        <v/>
      </c>
      <c r="G334" s="77" t="str">
        <f aca="false">IF(OR(B334="",F334=""),"",B334+F334)</f>
        <v/>
      </c>
      <c r="H334" s="65"/>
      <c r="I334" s="76"/>
      <c r="J334" s="51"/>
      <c r="K334" s="73" t="str">
        <f aca="false">IF(E334="","",E334-N(I334))</f>
        <v/>
      </c>
      <c r="L334" s="78" t="str">
        <f aca="true">IF(E334="","",IF(K334&lt;=0,"Paid",IF(AND(G334&lt;&gt;"",TODAY()&gt;G334),"Overdue",IF(N(I334)&gt;0,"Partial","Open"))))</f>
        <v/>
      </c>
      <c r="M334" s="66" t="str">
        <f aca="true">IF(OR(E334="",G334=""),"",IF(K334&lt;=0,IF(H334="","",MAX(0,H334-G334)),MAX(0,TODAY()-G334)))</f>
        <v/>
      </c>
      <c r="N334" s="78" t="str">
        <f aca="true">IF(OR(E334="",G334=""),"",IF(K334&lt;=0,"",IF(TODAY()&lt;=G334,"Not due yet",IF(TODAY()-G334&lt;=30,"1-30 days late",IF(TODAY()-G334&lt;=60,"31-60 days late",IF(TODAY()-G334&lt;=90,"61-90 days late","90+ days late"))))))</f>
        <v/>
      </c>
      <c r="O334" s="66" t="str">
        <f aca="false">IF(OR(H334="",B334="",K334&gt;0),"",H334-B334)</f>
        <v/>
      </c>
    </row>
    <row r="335" customFormat="false" ht="15" hidden="false" customHeight="false" outlineLevel="0" collapsed="false">
      <c r="A335" s="51"/>
      <c r="B335" s="65"/>
      <c r="C335" s="51"/>
      <c r="D335" s="51"/>
      <c r="E335" s="76"/>
      <c r="F335" s="66" t="str">
        <f aca="false">IF(C335="","",IFERROR(1/(1/INDEX(Clients!$H$6:$H$25,MATCH(C335,Clients!$B$6:$B$25,0))),Settings!$C$10))</f>
        <v/>
      </c>
      <c r="G335" s="77" t="str">
        <f aca="false">IF(OR(B335="",F335=""),"",B335+F335)</f>
        <v/>
      </c>
      <c r="H335" s="65"/>
      <c r="I335" s="76"/>
      <c r="J335" s="51"/>
      <c r="K335" s="73" t="str">
        <f aca="false">IF(E335="","",E335-N(I335))</f>
        <v/>
      </c>
      <c r="L335" s="78" t="str">
        <f aca="true">IF(E335="","",IF(K335&lt;=0,"Paid",IF(AND(G335&lt;&gt;"",TODAY()&gt;G335),"Overdue",IF(N(I335)&gt;0,"Partial","Open"))))</f>
        <v/>
      </c>
      <c r="M335" s="66" t="str">
        <f aca="true">IF(OR(E335="",G335=""),"",IF(K335&lt;=0,IF(H335="","",MAX(0,H335-G335)),MAX(0,TODAY()-G335)))</f>
        <v/>
      </c>
      <c r="N335" s="78" t="str">
        <f aca="true">IF(OR(E335="",G335=""),"",IF(K335&lt;=0,"",IF(TODAY()&lt;=G335,"Not due yet",IF(TODAY()-G335&lt;=30,"1-30 days late",IF(TODAY()-G335&lt;=60,"31-60 days late",IF(TODAY()-G335&lt;=90,"61-90 days late","90+ days late"))))))</f>
        <v/>
      </c>
      <c r="O335" s="66" t="str">
        <f aca="false">IF(OR(H335="",B335="",K335&gt;0),"",H335-B335)</f>
        <v/>
      </c>
    </row>
    <row r="336" customFormat="false" ht="15" hidden="false" customHeight="false" outlineLevel="0" collapsed="false">
      <c r="A336" s="51"/>
      <c r="B336" s="65"/>
      <c r="C336" s="51"/>
      <c r="D336" s="51"/>
      <c r="E336" s="76"/>
      <c r="F336" s="66" t="str">
        <f aca="false">IF(C336="","",IFERROR(1/(1/INDEX(Clients!$H$6:$H$25,MATCH(C336,Clients!$B$6:$B$25,0))),Settings!$C$10))</f>
        <v/>
      </c>
      <c r="G336" s="77" t="str">
        <f aca="false">IF(OR(B336="",F336=""),"",B336+F336)</f>
        <v/>
      </c>
      <c r="H336" s="65"/>
      <c r="I336" s="76"/>
      <c r="J336" s="51"/>
      <c r="K336" s="73" t="str">
        <f aca="false">IF(E336="","",E336-N(I336))</f>
        <v/>
      </c>
      <c r="L336" s="78" t="str">
        <f aca="true">IF(E336="","",IF(K336&lt;=0,"Paid",IF(AND(G336&lt;&gt;"",TODAY()&gt;G336),"Overdue",IF(N(I336)&gt;0,"Partial","Open"))))</f>
        <v/>
      </c>
      <c r="M336" s="66" t="str">
        <f aca="true">IF(OR(E336="",G336=""),"",IF(K336&lt;=0,IF(H336="","",MAX(0,H336-G336)),MAX(0,TODAY()-G336)))</f>
        <v/>
      </c>
      <c r="N336" s="78" t="str">
        <f aca="true">IF(OR(E336="",G336=""),"",IF(K336&lt;=0,"",IF(TODAY()&lt;=G336,"Not due yet",IF(TODAY()-G336&lt;=30,"1-30 days late",IF(TODAY()-G336&lt;=60,"31-60 days late",IF(TODAY()-G336&lt;=90,"61-90 days late","90+ days late"))))))</f>
        <v/>
      </c>
      <c r="O336" s="66" t="str">
        <f aca="false">IF(OR(H336="",B336="",K336&gt;0),"",H336-B336)</f>
        <v/>
      </c>
    </row>
    <row r="337" customFormat="false" ht="15" hidden="false" customHeight="false" outlineLevel="0" collapsed="false">
      <c r="A337" s="51"/>
      <c r="B337" s="65"/>
      <c r="C337" s="51"/>
      <c r="D337" s="51"/>
      <c r="E337" s="76"/>
      <c r="F337" s="66" t="str">
        <f aca="false">IF(C337="","",IFERROR(1/(1/INDEX(Clients!$H$6:$H$25,MATCH(C337,Clients!$B$6:$B$25,0))),Settings!$C$10))</f>
        <v/>
      </c>
      <c r="G337" s="77" t="str">
        <f aca="false">IF(OR(B337="",F337=""),"",B337+F337)</f>
        <v/>
      </c>
      <c r="H337" s="65"/>
      <c r="I337" s="76"/>
      <c r="J337" s="51"/>
      <c r="K337" s="73" t="str">
        <f aca="false">IF(E337="","",E337-N(I337))</f>
        <v/>
      </c>
      <c r="L337" s="78" t="str">
        <f aca="true">IF(E337="","",IF(K337&lt;=0,"Paid",IF(AND(G337&lt;&gt;"",TODAY()&gt;G337),"Overdue",IF(N(I337)&gt;0,"Partial","Open"))))</f>
        <v/>
      </c>
      <c r="M337" s="66" t="str">
        <f aca="true">IF(OR(E337="",G337=""),"",IF(K337&lt;=0,IF(H337="","",MAX(0,H337-G337)),MAX(0,TODAY()-G337)))</f>
        <v/>
      </c>
      <c r="N337" s="78" t="str">
        <f aca="true">IF(OR(E337="",G337=""),"",IF(K337&lt;=0,"",IF(TODAY()&lt;=G337,"Not due yet",IF(TODAY()-G337&lt;=30,"1-30 days late",IF(TODAY()-G337&lt;=60,"31-60 days late",IF(TODAY()-G337&lt;=90,"61-90 days late","90+ days late"))))))</f>
        <v/>
      </c>
      <c r="O337" s="66" t="str">
        <f aca="false">IF(OR(H337="",B337="",K337&gt;0),"",H337-B337)</f>
        <v/>
      </c>
    </row>
    <row r="338" customFormat="false" ht="15" hidden="false" customHeight="false" outlineLevel="0" collapsed="false">
      <c r="A338" s="51"/>
      <c r="B338" s="65"/>
      <c r="C338" s="51"/>
      <c r="D338" s="51"/>
      <c r="E338" s="76"/>
      <c r="F338" s="66" t="str">
        <f aca="false">IF(C338="","",IFERROR(1/(1/INDEX(Clients!$H$6:$H$25,MATCH(C338,Clients!$B$6:$B$25,0))),Settings!$C$10))</f>
        <v/>
      </c>
      <c r="G338" s="77" t="str">
        <f aca="false">IF(OR(B338="",F338=""),"",B338+F338)</f>
        <v/>
      </c>
      <c r="H338" s="65"/>
      <c r="I338" s="76"/>
      <c r="J338" s="51"/>
      <c r="K338" s="73" t="str">
        <f aca="false">IF(E338="","",E338-N(I338))</f>
        <v/>
      </c>
      <c r="L338" s="78" t="str">
        <f aca="true">IF(E338="","",IF(K338&lt;=0,"Paid",IF(AND(G338&lt;&gt;"",TODAY()&gt;G338),"Overdue",IF(N(I338)&gt;0,"Partial","Open"))))</f>
        <v/>
      </c>
      <c r="M338" s="66" t="str">
        <f aca="true">IF(OR(E338="",G338=""),"",IF(K338&lt;=0,IF(H338="","",MAX(0,H338-G338)),MAX(0,TODAY()-G338)))</f>
        <v/>
      </c>
      <c r="N338" s="78" t="str">
        <f aca="true">IF(OR(E338="",G338=""),"",IF(K338&lt;=0,"",IF(TODAY()&lt;=G338,"Not due yet",IF(TODAY()-G338&lt;=30,"1-30 days late",IF(TODAY()-G338&lt;=60,"31-60 days late",IF(TODAY()-G338&lt;=90,"61-90 days late","90+ days late"))))))</f>
        <v/>
      </c>
      <c r="O338" s="66" t="str">
        <f aca="false">IF(OR(H338="",B338="",K338&gt;0),"",H338-B338)</f>
        <v/>
      </c>
    </row>
    <row r="339" customFormat="false" ht="15" hidden="false" customHeight="false" outlineLevel="0" collapsed="false">
      <c r="A339" s="51"/>
      <c r="B339" s="65"/>
      <c r="C339" s="51"/>
      <c r="D339" s="51"/>
      <c r="E339" s="76"/>
      <c r="F339" s="66" t="str">
        <f aca="false">IF(C339="","",IFERROR(1/(1/INDEX(Clients!$H$6:$H$25,MATCH(C339,Clients!$B$6:$B$25,0))),Settings!$C$10))</f>
        <v/>
      </c>
      <c r="G339" s="77" t="str">
        <f aca="false">IF(OR(B339="",F339=""),"",B339+F339)</f>
        <v/>
      </c>
      <c r="H339" s="65"/>
      <c r="I339" s="76"/>
      <c r="J339" s="51"/>
      <c r="K339" s="73" t="str">
        <f aca="false">IF(E339="","",E339-N(I339))</f>
        <v/>
      </c>
      <c r="L339" s="78" t="str">
        <f aca="true">IF(E339="","",IF(K339&lt;=0,"Paid",IF(AND(G339&lt;&gt;"",TODAY()&gt;G339),"Overdue",IF(N(I339)&gt;0,"Partial","Open"))))</f>
        <v/>
      </c>
      <c r="M339" s="66" t="str">
        <f aca="true">IF(OR(E339="",G339=""),"",IF(K339&lt;=0,IF(H339="","",MAX(0,H339-G339)),MAX(0,TODAY()-G339)))</f>
        <v/>
      </c>
      <c r="N339" s="78" t="str">
        <f aca="true">IF(OR(E339="",G339=""),"",IF(K339&lt;=0,"",IF(TODAY()&lt;=G339,"Not due yet",IF(TODAY()-G339&lt;=30,"1-30 days late",IF(TODAY()-G339&lt;=60,"31-60 days late",IF(TODAY()-G339&lt;=90,"61-90 days late","90+ days late"))))))</f>
        <v/>
      </c>
      <c r="O339" s="66" t="str">
        <f aca="false">IF(OR(H339="",B339="",K339&gt;0),"",H339-B339)</f>
        <v/>
      </c>
    </row>
    <row r="340" customFormat="false" ht="15" hidden="false" customHeight="false" outlineLevel="0" collapsed="false">
      <c r="A340" s="51"/>
      <c r="B340" s="65"/>
      <c r="C340" s="51"/>
      <c r="D340" s="51"/>
      <c r="E340" s="76"/>
      <c r="F340" s="66" t="str">
        <f aca="false">IF(C340="","",IFERROR(1/(1/INDEX(Clients!$H$6:$H$25,MATCH(C340,Clients!$B$6:$B$25,0))),Settings!$C$10))</f>
        <v/>
      </c>
      <c r="G340" s="77" t="str">
        <f aca="false">IF(OR(B340="",F340=""),"",B340+F340)</f>
        <v/>
      </c>
      <c r="H340" s="65"/>
      <c r="I340" s="76"/>
      <c r="J340" s="51"/>
      <c r="K340" s="73" t="str">
        <f aca="false">IF(E340="","",E340-N(I340))</f>
        <v/>
      </c>
      <c r="L340" s="78" t="str">
        <f aca="true">IF(E340="","",IF(K340&lt;=0,"Paid",IF(AND(G340&lt;&gt;"",TODAY()&gt;G340),"Overdue",IF(N(I340)&gt;0,"Partial","Open"))))</f>
        <v/>
      </c>
      <c r="M340" s="66" t="str">
        <f aca="true">IF(OR(E340="",G340=""),"",IF(K340&lt;=0,IF(H340="","",MAX(0,H340-G340)),MAX(0,TODAY()-G340)))</f>
        <v/>
      </c>
      <c r="N340" s="78" t="str">
        <f aca="true">IF(OR(E340="",G340=""),"",IF(K340&lt;=0,"",IF(TODAY()&lt;=G340,"Not due yet",IF(TODAY()-G340&lt;=30,"1-30 days late",IF(TODAY()-G340&lt;=60,"31-60 days late",IF(TODAY()-G340&lt;=90,"61-90 days late","90+ days late"))))))</f>
        <v/>
      </c>
      <c r="O340" s="66" t="str">
        <f aca="false">IF(OR(H340="",B340="",K340&gt;0),"",H340-B340)</f>
        <v/>
      </c>
    </row>
    <row r="341" customFormat="false" ht="15" hidden="false" customHeight="false" outlineLevel="0" collapsed="false">
      <c r="A341" s="51"/>
      <c r="B341" s="65"/>
      <c r="C341" s="51"/>
      <c r="D341" s="51"/>
      <c r="E341" s="76"/>
      <c r="F341" s="66" t="str">
        <f aca="false">IF(C341="","",IFERROR(1/(1/INDEX(Clients!$H$6:$H$25,MATCH(C341,Clients!$B$6:$B$25,0))),Settings!$C$10))</f>
        <v/>
      </c>
      <c r="G341" s="77" t="str">
        <f aca="false">IF(OR(B341="",F341=""),"",B341+F341)</f>
        <v/>
      </c>
      <c r="H341" s="65"/>
      <c r="I341" s="76"/>
      <c r="J341" s="51"/>
      <c r="K341" s="73" t="str">
        <f aca="false">IF(E341="","",E341-N(I341))</f>
        <v/>
      </c>
      <c r="L341" s="78" t="str">
        <f aca="true">IF(E341="","",IF(K341&lt;=0,"Paid",IF(AND(G341&lt;&gt;"",TODAY()&gt;G341),"Overdue",IF(N(I341)&gt;0,"Partial","Open"))))</f>
        <v/>
      </c>
      <c r="M341" s="66" t="str">
        <f aca="true">IF(OR(E341="",G341=""),"",IF(K341&lt;=0,IF(H341="","",MAX(0,H341-G341)),MAX(0,TODAY()-G341)))</f>
        <v/>
      </c>
      <c r="N341" s="78" t="str">
        <f aca="true">IF(OR(E341="",G341=""),"",IF(K341&lt;=0,"",IF(TODAY()&lt;=G341,"Not due yet",IF(TODAY()-G341&lt;=30,"1-30 days late",IF(TODAY()-G341&lt;=60,"31-60 days late",IF(TODAY()-G341&lt;=90,"61-90 days late","90+ days late"))))))</f>
        <v/>
      </c>
      <c r="O341" s="66" t="str">
        <f aca="false">IF(OR(H341="",B341="",K341&gt;0),"",H341-B341)</f>
        <v/>
      </c>
    </row>
    <row r="342" customFormat="false" ht="15" hidden="false" customHeight="false" outlineLevel="0" collapsed="false">
      <c r="A342" s="51"/>
      <c r="B342" s="65"/>
      <c r="C342" s="51"/>
      <c r="D342" s="51"/>
      <c r="E342" s="76"/>
      <c r="F342" s="66" t="str">
        <f aca="false">IF(C342="","",IFERROR(1/(1/INDEX(Clients!$H$6:$H$25,MATCH(C342,Clients!$B$6:$B$25,0))),Settings!$C$10))</f>
        <v/>
      </c>
      <c r="G342" s="77" t="str">
        <f aca="false">IF(OR(B342="",F342=""),"",B342+F342)</f>
        <v/>
      </c>
      <c r="H342" s="65"/>
      <c r="I342" s="76"/>
      <c r="J342" s="51"/>
      <c r="K342" s="73" t="str">
        <f aca="false">IF(E342="","",E342-N(I342))</f>
        <v/>
      </c>
      <c r="L342" s="78" t="str">
        <f aca="true">IF(E342="","",IF(K342&lt;=0,"Paid",IF(AND(G342&lt;&gt;"",TODAY()&gt;G342),"Overdue",IF(N(I342)&gt;0,"Partial","Open"))))</f>
        <v/>
      </c>
      <c r="M342" s="66" t="str">
        <f aca="true">IF(OR(E342="",G342=""),"",IF(K342&lt;=0,IF(H342="","",MAX(0,H342-G342)),MAX(0,TODAY()-G342)))</f>
        <v/>
      </c>
      <c r="N342" s="78" t="str">
        <f aca="true">IF(OR(E342="",G342=""),"",IF(K342&lt;=0,"",IF(TODAY()&lt;=G342,"Not due yet",IF(TODAY()-G342&lt;=30,"1-30 days late",IF(TODAY()-G342&lt;=60,"31-60 days late",IF(TODAY()-G342&lt;=90,"61-90 days late","90+ days late"))))))</f>
        <v/>
      </c>
      <c r="O342" s="66" t="str">
        <f aca="false">IF(OR(H342="",B342="",K342&gt;0),"",H342-B342)</f>
        <v/>
      </c>
    </row>
    <row r="343" customFormat="false" ht="15" hidden="false" customHeight="false" outlineLevel="0" collapsed="false">
      <c r="A343" s="51"/>
      <c r="B343" s="65"/>
      <c r="C343" s="51"/>
      <c r="D343" s="51"/>
      <c r="E343" s="76"/>
      <c r="F343" s="66" t="str">
        <f aca="false">IF(C343="","",IFERROR(1/(1/INDEX(Clients!$H$6:$H$25,MATCH(C343,Clients!$B$6:$B$25,0))),Settings!$C$10))</f>
        <v/>
      </c>
      <c r="G343" s="77" t="str">
        <f aca="false">IF(OR(B343="",F343=""),"",B343+F343)</f>
        <v/>
      </c>
      <c r="H343" s="65"/>
      <c r="I343" s="76"/>
      <c r="J343" s="51"/>
      <c r="K343" s="73" t="str">
        <f aca="false">IF(E343="","",E343-N(I343))</f>
        <v/>
      </c>
      <c r="L343" s="78" t="str">
        <f aca="true">IF(E343="","",IF(K343&lt;=0,"Paid",IF(AND(G343&lt;&gt;"",TODAY()&gt;G343),"Overdue",IF(N(I343)&gt;0,"Partial","Open"))))</f>
        <v/>
      </c>
      <c r="M343" s="66" t="str">
        <f aca="true">IF(OR(E343="",G343=""),"",IF(K343&lt;=0,IF(H343="","",MAX(0,H343-G343)),MAX(0,TODAY()-G343)))</f>
        <v/>
      </c>
      <c r="N343" s="78" t="str">
        <f aca="true">IF(OR(E343="",G343=""),"",IF(K343&lt;=0,"",IF(TODAY()&lt;=G343,"Not due yet",IF(TODAY()-G343&lt;=30,"1-30 days late",IF(TODAY()-G343&lt;=60,"31-60 days late",IF(TODAY()-G343&lt;=90,"61-90 days late","90+ days late"))))))</f>
        <v/>
      </c>
      <c r="O343" s="66" t="str">
        <f aca="false">IF(OR(H343="",B343="",K343&gt;0),"",H343-B343)</f>
        <v/>
      </c>
    </row>
    <row r="344" customFormat="false" ht="15" hidden="false" customHeight="false" outlineLevel="0" collapsed="false">
      <c r="A344" s="51"/>
      <c r="B344" s="65"/>
      <c r="C344" s="51"/>
      <c r="D344" s="51"/>
      <c r="E344" s="76"/>
      <c r="F344" s="66" t="str">
        <f aca="false">IF(C344="","",IFERROR(1/(1/INDEX(Clients!$H$6:$H$25,MATCH(C344,Clients!$B$6:$B$25,0))),Settings!$C$10))</f>
        <v/>
      </c>
      <c r="G344" s="77" t="str">
        <f aca="false">IF(OR(B344="",F344=""),"",B344+F344)</f>
        <v/>
      </c>
      <c r="H344" s="65"/>
      <c r="I344" s="76"/>
      <c r="J344" s="51"/>
      <c r="K344" s="73" t="str">
        <f aca="false">IF(E344="","",E344-N(I344))</f>
        <v/>
      </c>
      <c r="L344" s="78" t="str">
        <f aca="true">IF(E344="","",IF(K344&lt;=0,"Paid",IF(AND(G344&lt;&gt;"",TODAY()&gt;G344),"Overdue",IF(N(I344)&gt;0,"Partial","Open"))))</f>
        <v/>
      </c>
      <c r="M344" s="66" t="str">
        <f aca="true">IF(OR(E344="",G344=""),"",IF(K344&lt;=0,IF(H344="","",MAX(0,H344-G344)),MAX(0,TODAY()-G344)))</f>
        <v/>
      </c>
      <c r="N344" s="78" t="str">
        <f aca="true">IF(OR(E344="",G344=""),"",IF(K344&lt;=0,"",IF(TODAY()&lt;=G344,"Not due yet",IF(TODAY()-G344&lt;=30,"1-30 days late",IF(TODAY()-G344&lt;=60,"31-60 days late",IF(TODAY()-G344&lt;=90,"61-90 days late","90+ days late"))))))</f>
        <v/>
      </c>
      <c r="O344" s="66" t="str">
        <f aca="false">IF(OR(H344="",B344="",K344&gt;0),"",H344-B344)</f>
        <v/>
      </c>
    </row>
    <row r="345" customFormat="false" ht="15" hidden="false" customHeight="false" outlineLevel="0" collapsed="false">
      <c r="A345" s="51"/>
      <c r="B345" s="65"/>
      <c r="C345" s="51"/>
      <c r="D345" s="51"/>
      <c r="E345" s="76"/>
      <c r="F345" s="66" t="str">
        <f aca="false">IF(C345="","",IFERROR(1/(1/INDEX(Clients!$H$6:$H$25,MATCH(C345,Clients!$B$6:$B$25,0))),Settings!$C$10))</f>
        <v/>
      </c>
      <c r="G345" s="77" t="str">
        <f aca="false">IF(OR(B345="",F345=""),"",B345+F345)</f>
        <v/>
      </c>
      <c r="H345" s="65"/>
      <c r="I345" s="76"/>
      <c r="J345" s="51"/>
      <c r="K345" s="73" t="str">
        <f aca="false">IF(E345="","",E345-N(I345))</f>
        <v/>
      </c>
      <c r="L345" s="78" t="str">
        <f aca="true">IF(E345="","",IF(K345&lt;=0,"Paid",IF(AND(G345&lt;&gt;"",TODAY()&gt;G345),"Overdue",IF(N(I345)&gt;0,"Partial","Open"))))</f>
        <v/>
      </c>
      <c r="M345" s="66" t="str">
        <f aca="true">IF(OR(E345="",G345=""),"",IF(K345&lt;=0,IF(H345="","",MAX(0,H345-G345)),MAX(0,TODAY()-G345)))</f>
        <v/>
      </c>
      <c r="N345" s="78" t="str">
        <f aca="true">IF(OR(E345="",G345=""),"",IF(K345&lt;=0,"",IF(TODAY()&lt;=G345,"Not due yet",IF(TODAY()-G345&lt;=30,"1-30 days late",IF(TODAY()-G345&lt;=60,"31-60 days late",IF(TODAY()-G345&lt;=90,"61-90 days late","90+ days late"))))))</f>
        <v/>
      </c>
      <c r="O345" s="66" t="str">
        <f aca="false">IF(OR(H345="",B345="",K345&gt;0),"",H345-B345)</f>
        <v/>
      </c>
    </row>
    <row r="346" customFormat="false" ht="15" hidden="false" customHeight="false" outlineLevel="0" collapsed="false">
      <c r="A346" s="51"/>
      <c r="B346" s="65"/>
      <c r="C346" s="51"/>
      <c r="D346" s="51"/>
      <c r="E346" s="76"/>
      <c r="F346" s="66" t="str">
        <f aca="false">IF(C346="","",IFERROR(1/(1/INDEX(Clients!$H$6:$H$25,MATCH(C346,Clients!$B$6:$B$25,0))),Settings!$C$10))</f>
        <v/>
      </c>
      <c r="G346" s="77" t="str">
        <f aca="false">IF(OR(B346="",F346=""),"",B346+F346)</f>
        <v/>
      </c>
      <c r="H346" s="65"/>
      <c r="I346" s="76"/>
      <c r="J346" s="51"/>
      <c r="K346" s="73" t="str">
        <f aca="false">IF(E346="","",E346-N(I346))</f>
        <v/>
      </c>
      <c r="L346" s="78" t="str">
        <f aca="true">IF(E346="","",IF(K346&lt;=0,"Paid",IF(AND(G346&lt;&gt;"",TODAY()&gt;G346),"Overdue",IF(N(I346)&gt;0,"Partial","Open"))))</f>
        <v/>
      </c>
      <c r="M346" s="66" t="str">
        <f aca="true">IF(OR(E346="",G346=""),"",IF(K346&lt;=0,IF(H346="","",MAX(0,H346-G346)),MAX(0,TODAY()-G346)))</f>
        <v/>
      </c>
      <c r="N346" s="78" t="str">
        <f aca="true">IF(OR(E346="",G346=""),"",IF(K346&lt;=0,"",IF(TODAY()&lt;=G346,"Not due yet",IF(TODAY()-G346&lt;=30,"1-30 days late",IF(TODAY()-G346&lt;=60,"31-60 days late",IF(TODAY()-G346&lt;=90,"61-90 days late","90+ days late"))))))</f>
        <v/>
      </c>
      <c r="O346" s="66" t="str">
        <f aca="false">IF(OR(H346="",B346="",K346&gt;0),"",H346-B346)</f>
        <v/>
      </c>
    </row>
    <row r="347" customFormat="false" ht="15" hidden="false" customHeight="false" outlineLevel="0" collapsed="false">
      <c r="A347" s="51"/>
      <c r="B347" s="65"/>
      <c r="C347" s="51"/>
      <c r="D347" s="51"/>
      <c r="E347" s="76"/>
      <c r="F347" s="66" t="str">
        <f aca="false">IF(C347="","",IFERROR(1/(1/INDEX(Clients!$H$6:$H$25,MATCH(C347,Clients!$B$6:$B$25,0))),Settings!$C$10))</f>
        <v/>
      </c>
      <c r="G347" s="77" t="str">
        <f aca="false">IF(OR(B347="",F347=""),"",B347+F347)</f>
        <v/>
      </c>
      <c r="H347" s="65"/>
      <c r="I347" s="76"/>
      <c r="J347" s="51"/>
      <c r="K347" s="73" t="str">
        <f aca="false">IF(E347="","",E347-N(I347))</f>
        <v/>
      </c>
      <c r="L347" s="78" t="str">
        <f aca="true">IF(E347="","",IF(K347&lt;=0,"Paid",IF(AND(G347&lt;&gt;"",TODAY()&gt;G347),"Overdue",IF(N(I347)&gt;0,"Partial","Open"))))</f>
        <v/>
      </c>
      <c r="M347" s="66" t="str">
        <f aca="true">IF(OR(E347="",G347=""),"",IF(K347&lt;=0,IF(H347="","",MAX(0,H347-G347)),MAX(0,TODAY()-G347)))</f>
        <v/>
      </c>
      <c r="N347" s="78" t="str">
        <f aca="true">IF(OR(E347="",G347=""),"",IF(K347&lt;=0,"",IF(TODAY()&lt;=G347,"Not due yet",IF(TODAY()-G347&lt;=30,"1-30 days late",IF(TODAY()-G347&lt;=60,"31-60 days late",IF(TODAY()-G347&lt;=90,"61-90 days late","90+ days late"))))))</f>
        <v/>
      </c>
      <c r="O347" s="66" t="str">
        <f aca="false">IF(OR(H347="",B347="",K347&gt;0),"",H347-B347)</f>
        <v/>
      </c>
    </row>
    <row r="348" customFormat="false" ht="15" hidden="false" customHeight="false" outlineLevel="0" collapsed="false">
      <c r="A348" s="51"/>
      <c r="B348" s="65"/>
      <c r="C348" s="51"/>
      <c r="D348" s="51"/>
      <c r="E348" s="76"/>
      <c r="F348" s="66" t="str">
        <f aca="false">IF(C348="","",IFERROR(1/(1/INDEX(Clients!$H$6:$H$25,MATCH(C348,Clients!$B$6:$B$25,0))),Settings!$C$10))</f>
        <v/>
      </c>
      <c r="G348" s="77" t="str">
        <f aca="false">IF(OR(B348="",F348=""),"",B348+F348)</f>
        <v/>
      </c>
      <c r="H348" s="65"/>
      <c r="I348" s="76"/>
      <c r="J348" s="51"/>
      <c r="K348" s="73" t="str">
        <f aca="false">IF(E348="","",E348-N(I348))</f>
        <v/>
      </c>
      <c r="L348" s="78" t="str">
        <f aca="true">IF(E348="","",IF(K348&lt;=0,"Paid",IF(AND(G348&lt;&gt;"",TODAY()&gt;G348),"Overdue",IF(N(I348)&gt;0,"Partial","Open"))))</f>
        <v/>
      </c>
      <c r="M348" s="66" t="str">
        <f aca="true">IF(OR(E348="",G348=""),"",IF(K348&lt;=0,IF(H348="","",MAX(0,H348-G348)),MAX(0,TODAY()-G348)))</f>
        <v/>
      </c>
      <c r="N348" s="78" t="str">
        <f aca="true">IF(OR(E348="",G348=""),"",IF(K348&lt;=0,"",IF(TODAY()&lt;=G348,"Not due yet",IF(TODAY()-G348&lt;=30,"1-30 days late",IF(TODAY()-G348&lt;=60,"31-60 days late",IF(TODAY()-G348&lt;=90,"61-90 days late","90+ days late"))))))</f>
        <v/>
      </c>
      <c r="O348" s="66" t="str">
        <f aca="false">IF(OR(H348="",B348="",K348&gt;0),"",H348-B348)</f>
        <v/>
      </c>
    </row>
    <row r="349" customFormat="false" ht="15" hidden="false" customHeight="false" outlineLevel="0" collapsed="false">
      <c r="A349" s="51"/>
      <c r="B349" s="65"/>
      <c r="C349" s="51"/>
      <c r="D349" s="51"/>
      <c r="E349" s="76"/>
      <c r="F349" s="66" t="str">
        <f aca="false">IF(C349="","",IFERROR(1/(1/INDEX(Clients!$H$6:$H$25,MATCH(C349,Clients!$B$6:$B$25,0))),Settings!$C$10))</f>
        <v/>
      </c>
      <c r="G349" s="77" t="str">
        <f aca="false">IF(OR(B349="",F349=""),"",B349+F349)</f>
        <v/>
      </c>
      <c r="H349" s="65"/>
      <c r="I349" s="76"/>
      <c r="J349" s="51"/>
      <c r="K349" s="73" t="str">
        <f aca="false">IF(E349="","",E349-N(I349))</f>
        <v/>
      </c>
      <c r="L349" s="78" t="str">
        <f aca="true">IF(E349="","",IF(K349&lt;=0,"Paid",IF(AND(G349&lt;&gt;"",TODAY()&gt;G349),"Overdue",IF(N(I349)&gt;0,"Partial","Open"))))</f>
        <v/>
      </c>
      <c r="M349" s="66" t="str">
        <f aca="true">IF(OR(E349="",G349=""),"",IF(K349&lt;=0,IF(H349="","",MAX(0,H349-G349)),MAX(0,TODAY()-G349)))</f>
        <v/>
      </c>
      <c r="N349" s="78" t="str">
        <f aca="true">IF(OR(E349="",G349=""),"",IF(K349&lt;=0,"",IF(TODAY()&lt;=G349,"Not due yet",IF(TODAY()-G349&lt;=30,"1-30 days late",IF(TODAY()-G349&lt;=60,"31-60 days late",IF(TODAY()-G349&lt;=90,"61-90 days late","90+ days late"))))))</f>
        <v/>
      </c>
      <c r="O349" s="66" t="str">
        <f aca="false">IF(OR(H349="",B349="",K349&gt;0),"",H349-B349)</f>
        <v/>
      </c>
    </row>
    <row r="350" customFormat="false" ht="15" hidden="false" customHeight="false" outlineLevel="0" collapsed="false">
      <c r="A350" s="51"/>
      <c r="B350" s="65"/>
      <c r="C350" s="51"/>
      <c r="D350" s="51"/>
      <c r="E350" s="76"/>
      <c r="F350" s="66" t="str">
        <f aca="false">IF(C350="","",IFERROR(1/(1/INDEX(Clients!$H$6:$H$25,MATCH(C350,Clients!$B$6:$B$25,0))),Settings!$C$10))</f>
        <v/>
      </c>
      <c r="G350" s="77" t="str">
        <f aca="false">IF(OR(B350="",F350=""),"",B350+F350)</f>
        <v/>
      </c>
      <c r="H350" s="65"/>
      <c r="I350" s="76"/>
      <c r="J350" s="51"/>
      <c r="K350" s="73" t="str">
        <f aca="false">IF(E350="","",E350-N(I350))</f>
        <v/>
      </c>
      <c r="L350" s="78" t="str">
        <f aca="true">IF(E350="","",IF(K350&lt;=0,"Paid",IF(AND(G350&lt;&gt;"",TODAY()&gt;G350),"Overdue",IF(N(I350)&gt;0,"Partial","Open"))))</f>
        <v/>
      </c>
      <c r="M350" s="66" t="str">
        <f aca="true">IF(OR(E350="",G350=""),"",IF(K350&lt;=0,IF(H350="","",MAX(0,H350-G350)),MAX(0,TODAY()-G350)))</f>
        <v/>
      </c>
      <c r="N350" s="78" t="str">
        <f aca="true">IF(OR(E350="",G350=""),"",IF(K350&lt;=0,"",IF(TODAY()&lt;=G350,"Not due yet",IF(TODAY()-G350&lt;=30,"1-30 days late",IF(TODAY()-G350&lt;=60,"31-60 days late",IF(TODAY()-G350&lt;=90,"61-90 days late","90+ days late"))))))</f>
        <v/>
      </c>
      <c r="O350" s="66" t="str">
        <f aca="false">IF(OR(H350="",B350="",K350&gt;0),"",H350-B350)</f>
        <v/>
      </c>
    </row>
    <row r="351" customFormat="false" ht="15" hidden="false" customHeight="false" outlineLevel="0" collapsed="false">
      <c r="A351" s="51"/>
      <c r="B351" s="65"/>
      <c r="C351" s="51"/>
      <c r="D351" s="51"/>
      <c r="E351" s="76"/>
      <c r="F351" s="66" t="str">
        <f aca="false">IF(C351="","",IFERROR(1/(1/INDEX(Clients!$H$6:$H$25,MATCH(C351,Clients!$B$6:$B$25,0))),Settings!$C$10))</f>
        <v/>
      </c>
      <c r="G351" s="77" t="str">
        <f aca="false">IF(OR(B351="",F351=""),"",B351+F351)</f>
        <v/>
      </c>
      <c r="H351" s="65"/>
      <c r="I351" s="76"/>
      <c r="J351" s="51"/>
      <c r="K351" s="73" t="str">
        <f aca="false">IF(E351="","",E351-N(I351))</f>
        <v/>
      </c>
      <c r="L351" s="78" t="str">
        <f aca="true">IF(E351="","",IF(K351&lt;=0,"Paid",IF(AND(G351&lt;&gt;"",TODAY()&gt;G351),"Overdue",IF(N(I351)&gt;0,"Partial","Open"))))</f>
        <v/>
      </c>
      <c r="M351" s="66" t="str">
        <f aca="true">IF(OR(E351="",G351=""),"",IF(K351&lt;=0,IF(H351="","",MAX(0,H351-G351)),MAX(0,TODAY()-G351)))</f>
        <v/>
      </c>
      <c r="N351" s="78" t="str">
        <f aca="true">IF(OR(E351="",G351=""),"",IF(K351&lt;=0,"",IF(TODAY()&lt;=G351,"Not due yet",IF(TODAY()-G351&lt;=30,"1-30 days late",IF(TODAY()-G351&lt;=60,"31-60 days late",IF(TODAY()-G351&lt;=90,"61-90 days late","90+ days late"))))))</f>
        <v/>
      </c>
      <c r="O351" s="66" t="str">
        <f aca="false">IF(OR(H351="",B351="",K351&gt;0),"",H351-B351)</f>
        <v/>
      </c>
    </row>
    <row r="352" customFormat="false" ht="15" hidden="false" customHeight="false" outlineLevel="0" collapsed="false">
      <c r="A352" s="51"/>
      <c r="B352" s="65"/>
      <c r="C352" s="51"/>
      <c r="D352" s="51"/>
      <c r="E352" s="76"/>
      <c r="F352" s="66" t="str">
        <f aca="false">IF(C352="","",IFERROR(1/(1/INDEX(Clients!$H$6:$H$25,MATCH(C352,Clients!$B$6:$B$25,0))),Settings!$C$10))</f>
        <v/>
      </c>
      <c r="G352" s="77" t="str">
        <f aca="false">IF(OR(B352="",F352=""),"",B352+F352)</f>
        <v/>
      </c>
      <c r="H352" s="65"/>
      <c r="I352" s="76"/>
      <c r="J352" s="51"/>
      <c r="K352" s="73" t="str">
        <f aca="false">IF(E352="","",E352-N(I352))</f>
        <v/>
      </c>
      <c r="L352" s="78" t="str">
        <f aca="true">IF(E352="","",IF(K352&lt;=0,"Paid",IF(AND(G352&lt;&gt;"",TODAY()&gt;G352),"Overdue",IF(N(I352)&gt;0,"Partial","Open"))))</f>
        <v/>
      </c>
      <c r="M352" s="66" t="str">
        <f aca="true">IF(OR(E352="",G352=""),"",IF(K352&lt;=0,IF(H352="","",MAX(0,H352-G352)),MAX(0,TODAY()-G352)))</f>
        <v/>
      </c>
      <c r="N352" s="78" t="str">
        <f aca="true">IF(OR(E352="",G352=""),"",IF(K352&lt;=0,"",IF(TODAY()&lt;=G352,"Not due yet",IF(TODAY()-G352&lt;=30,"1-30 days late",IF(TODAY()-G352&lt;=60,"31-60 days late",IF(TODAY()-G352&lt;=90,"61-90 days late","90+ days late"))))))</f>
        <v/>
      </c>
      <c r="O352" s="66" t="str">
        <f aca="false">IF(OR(H352="",B352="",K352&gt;0),"",H352-B352)</f>
        <v/>
      </c>
    </row>
    <row r="353" customFormat="false" ht="15" hidden="false" customHeight="false" outlineLevel="0" collapsed="false">
      <c r="A353" s="51"/>
      <c r="B353" s="65"/>
      <c r="C353" s="51"/>
      <c r="D353" s="51"/>
      <c r="E353" s="76"/>
      <c r="F353" s="66" t="str">
        <f aca="false">IF(C353="","",IFERROR(1/(1/INDEX(Clients!$H$6:$H$25,MATCH(C353,Clients!$B$6:$B$25,0))),Settings!$C$10))</f>
        <v/>
      </c>
      <c r="G353" s="77" t="str">
        <f aca="false">IF(OR(B353="",F353=""),"",B353+F353)</f>
        <v/>
      </c>
      <c r="H353" s="65"/>
      <c r="I353" s="76"/>
      <c r="J353" s="51"/>
      <c r="K353" s="73" t="str">
        <f aca="false">IF(E353="","",E353-N(I353))</f>
        <v/>
      </c>
      <c r="L353" s="78" t="str">
        <f aca="true">IF(E353="","",IF(K353&lt;=0,"Paid",IF(AND(G353&lt;&gt;"",TODAY()&gt;G353),"Overdue",IF(N(I353)&gt;0,"Partial","Open"))))</f>
        <v/>
      </c>
      <c r="M353" s="66" t="str">
        <f aca="true">IF(OR(E353="",G353=""),"",IF(K353&lt;=0,IF(H353="","",MAX(0,H353-G353)),MAX(0,TODAY()-G353)))</f>
        <v/>
      </c>
      <c r="N353" s="78" t="str">
        <f aca="true">IF(OR(E353="",G353=""),"",IF(K353&lt;=0,"",IF(TODAY()&lt;=G353,"Not due yet",IF(TODAY()-G353&lt;=30,"1-30 days late",IF(TODAY()-G353&lt;=60,"31-60 days late",IF(TODAY()-G353&lt;=90,"61-90 days late","90+ days late"))))))</f>
        <v/>
      </c>
      <c r="O353" s="66" t="str">
        <f aca="false">IF(OR(H353="",B353="",K353&gt;0),"",H353-B353)</f>
        <v/>
      </c>
    </row>
    <row r="354" customFormat="false" ht="15" hidden="false" customHeight="false" outlineLevel="0" collapsed="false">
      <c r="A354" s="51"/>
      <c r="B354" s="65"/>
      <c r="C354" s="51"/>
      <c r="D354" s="51"/>
      <c r="E354" s="76"/>
      <c r="F354" s="66" t="str">
        <f aca="false">IF(C354="","",IFERROR(1/(1/INDEX(Clients!$H$6:$H$25,MATCH(C354,Clients!$B$6:$B$25,0))),Settings!$C$10))</f>
        <v/>
      </c>
      <c r="G354" s="77" t="str">
        <f aca="false">IF(OR(B354="",F354=""),"",B354+F354)</f>
        <v/>
      </c>
      <c r="H354" s="65"/>
      <c r="I354" s="76"/>
      <c r="J354" s="51"/>
      <c r="K354" s="73" t="str">
        <f aca="false">IF(E354="","",E354-N(I354))</f>
        <v/>
      </c>
      <c r="L354" s="78" t="str">
        <f aca="true">IF(E354="","",IF(K354&lt;=0,"Paid",IF(AND(G354&lt;&gt;"",TODAY()&gt;G354),"Overdue",IF(N(I354)&gt;0,"Partial","Open"))))</f>
        <v/>
      </c>
      <c r="M354" s="66" t="str">
        <f aca="true">IF(OR(E354="",G354=""),"",IF(K354&lt;=0,IF(H354="","",MAX(0,H354-G354)),MAX(0,TODAY()-G354)))</f>
        <v/>
      </c>
      <c r="N354" s="78" t="str">
        <f aca="true">IF(OR(E354="",G354=""),"",IF(K354&lt;=0,"",IF(TODAY()&lt;=G354,"Not due yet",IF(TODAY()-G354&lt;=30,"1-30 days late",IF(TODAY()-G354&lt;=60,"31-60 days late",IF(TODAY()-G354&lt;=90,"61-90 days late","90+ days late"))))))</f>
        <v/>
      </c>
      <c r="O354" s="66" t="str">
        <f aca="false">IF(OR(H354="",B354="",K354&gt;0),"",H354-B354)</f>
        <v/>
      </c>
    </row>
    <row r="355" customFormat="false" ht="15" hidden="false" customHeight="false" outlineLevel="0" collapsed="false">
      <c r="A355" s="51"/>
      <c r="B355" s="65"/>
      <c r="C355" s="51"/>
      <c r="D355" s="51"/>
      <c r="E355" s="76"/>
      <c r="F355" s="66" t="str">
        <f aca="false">IF(C355="","",IFERROR(1/(1/INDEX(Clients!$H$6:$H$25,MATCH(C355,Clients!$B$6:$B$25,0))),Settings!$C$10))</f>
        <v/>
      </c>
      <c r="G355" s="77" t="str">
        <f aca="false">IF(OR(B355="",F355=""),"",B355+F355)</f>
        <v/>
      </c>
      <c r="H355" s="65"/>
      <c r="I355" s="76"/>
      <c r="J355" s="51"/>
      <c r="K355" s="73" t="str">
        <f aca="false">IF(E355="","",E355-N(I355))</f>
        <v/>
      </c>
      <c r="L355" s="78" t="str">
        <f aca="true">IF(E355="","",IF(K355&lt;=0,"Paid",IF(AND(G355&lt;&gt;"",TODAY()&gt;G355),"Overdue",IF(N(I355)&gt;0,"Partial","Open"))))</f>
        <v/>
      </c>
      <c r="M355" s="66" t="str">
        <f aca="true">IF(OR(E355="",G355=""),"",IF(K355&lt;=0,IF(H355="","",MAX(0,H355-G355)),MAX(0,TODAY()-G355)))</f>
        <v/>
      </c>
      <c r="N355" s="78" t="str">
        <f aca="true">IF(OR(E355="",G355=""),"",IF(K355&lt;=0,"",IF(TODAY()&lt;=G355,"Not due yet",IF(TODAY()-G355&lt;=30,"1-30 days late",IF(TODAY()-G355&lt;=60,"31-60 days late",IF(TODAY()-G355&lt;=90,"61-90 days late","90+ days late"))))))</f>
        <v/>
      </c>
      <c r="O355" s="66" t="str">
        <f aca="false">IF(OR(H355="",B355="",K355&gt;0),"",H355-B355)</f>
        <v/>
      </c>
    </row>
    <row r="356" customFormat="false" ht="15" hidden="false" customHeight="false" outlineLevel="0" collapsed="false">
      <c r="A356" s="51"/>
      <c r="B356" s="65"/>
      <c r="C356" s="51"/>
      <c r="D356" s="51"/>
      <c r="E356" s="76"/>
      <c r="F356" s="66" t="str">
        <f aca="false">IF(C356="","",IFERROR(1/(1/INDEX(Clients!$H$6:$H$25,MATCH(C356,Clients!$B$6:$B$25,0))),Settings!$C$10))</f>
        <v/>
      </c>
      <c r="G356" s="77" t="str">
        <f aca="false">IF(OR(B356="",F356=""),"",B356+F356)</f>
        <v/>
      </c>
      <c r="H356" s="65"/>
      <c r="I356" s="76"/>
      <c r="J356" s="51"/>
      <c r="K356" s="73" t="str">
        <f aca="false">IF(E356="","",E356-N(I356))</f>
        <v/>
      </c>
      <c r="L356" s="78" t="str">
        <f aca="true">IF(E356="","",IF(K356&lt;=0,"Paid",IF(AND(G356&lt;&gt;"",TODAY()&gt;G356),"Overdue",IF(N(I356)&gt;0,"Partial","Open"))))</f>
        <v/>
      </c>
      <c r="M356" s="66" t="str">
        <f aca="true">IF(OR(E356="",G356=""),"",IF(K356&lt;=0,IF(H356="","",MAX(0,H356-G356)),MAX(0,TODAY()-G356)))</f>
        <v/>
      </c>
      <c r="N356" s="78" t="str">
        <f aca="true">IF(OR(E356="",G356=""),"",IF(K356&lt;=0,"",IF(TODAY()&lt;=G356,"Not due yet",IF(TODAY()-G356&lt;=30,"1-30 days late",IF(TODAY()-G356&lt;=60,"31-60 days late",IF(TODAY()-G356&lt;=90,"61-90 days late","90+ days late"))))))</f>
        <v/>
      </c>
      <c r="O356" s="66" t="str">
        <f aca="false">IF(OR(H356="",B356="",K356&gt;0),"",H356-B356)</f>
        <v/>
      </c>
    </row>
    <row r="357" customFormat="false" ht="15" hidden="false" customHeight="false" outlineLevel="0" collapsed="false">
      <c r="A357" s="51"/>
      <c r="B357" s="65"/>
      <c r="C357" s="51"/>
      <c r="D357" s="51"/>
      <c r="E357" s="76"/>
      <c r="F357" s="66" t="str">
        <f aca="false">IF(C357="","",IFERROR(1/(1/INDEX(Clients!$H$6:$H$25,MATCH(C357,Clients!$B$6:$B$25,0))),Settings!$C$10))</f>
        <v/>
      </c>
      <c r="G357" s="77" t="str">
        <f aca="false">IF(OR(B357="",F357=""),"",B357+F357)</f>
        <v/>
      </c>
      <c r="H357" s="65"/>
      <c r="I357" s="76"/>
      <c r="J357" s="51"/>
      <c r="K357" s="73" t="str">
        <f aca="false">IF(E357="","",E357-N(I357))</f>
        <v/>
      </c>
      <c r="L357" s="78" t="str">
        <f aca="true">IF(E357="","",IF(K357&lt;=0,"Paid",IF(AND(G357&lt;&gt;"",TODAY()&gt;G357),"Overdue",IF(N(I357)&gt;0,"Partial","Open"))))</f>
        <v/>
      </c>
      <c r="M357" s="66" t="str">
        <f aca="true">IF(OR(E357="",G357=""),"",IF(K357&lt;=0,IF(H357="","",MAX(0,H357-G357)),MAX(0,TODAY()-G357)))</f>
        <v/>
      </c>
      <c r="N357" s="78" t="str">
        <f aca="true">IF(OR(E357="",G357=""),"",IF(K357&lt;=0,"",IF(TODAY()&lt;=G357,"Not due yet",IF(TODAY()-G357&lt;=30,"1-30 days late",IF(TODAY()-G357&lt;=60,"31-60 days late",IF(TODAY()-G357&lt;=90,"61-90 days late","90+ days late"))))))</f>
        <v/>
      </c>
      <c r="O357" s="66" t="str">
        <f aca="false">IF(OR(H357="",B357="",K357&gt;0),"",H357-B357)</f>
        <v/>
      </c>
    </row>
    <row r="358" customFormat="false" ht="15" hidden="false" customHeight="false" outlineLevel="0" collapsed="false">
      <c r="A358" s="51"/>
      <c r="B358" s="65"/>
      <c r="C358" s="51"/>
      <c r="D358" s="51"/>
      <c r="E358" s="76"/>
      <c r="F358" s="66" t="str">
        <f aca="false">IF(C358="","",IFERROR(1/(1/INDEX(Clients!$H$6:$H$25,MATCH(C358,Clients!$B$6:$B$25,0))),Settings!$C$10))</f>
        <v/>
      </c>
      <c r="G358" s="77" t="str">
        <f aca="false">IF(OR(B358="",F358=""),"",B358+F358)</f>
        <v/>
      </c>
      <c r="H358" s="65"/>
      <c r="I358" s="76"/>
      <c r="J358" s="51"/>
      <c r="K358" s="73" t="str">
        <f aca="false">IF(E358="","",E358-N(I358))</f>
        <v/>
      </c>
      <c r="L358" s="78" t="str">
        <f aca="true">IF(E358="","",IF(K358&lt;=0,"Paid",IF(AND(G358&lt;&gt;"",TODAY()&gt;G358),"Overdue",IF(N(I358)&gt;0,"Partial","Open"))))</f>
        <v/>
      </c>
      <c r="M358" s="66" t="str">
        <f aca="true">IF(OR(E358="",G358=""),"",IF(K358&lt;=0,IF(H358="","",MAX(0,H358-G358)),MAX(0,TODAY()-G358)))</f>
        <v/>
      </c>
      <c r="N358" s="78" t="str">
        <f aca="true">IF(OR(E358="",G358=""),"",IF(K358&lt;=0,"",IF(TODAY()&lt;=G358,"Not due yet",IF(TODAY()-G358&lt;=30,"1-30 days late",IF(TODAY()-G358&lt;=60,"31-60 days late",IF(TODAY()-G358&lt;=90,"61-90 days late","90+ days late"))))))</f>
        <v/>
      </c>
      <c r="O358" s="66" t="str">
        <f aca="false">IF(OR(H358="",B358="",K358&gt;0),"",H358-B358)</f>
        <v/>
      </c>
    </row>
    <row r="359" customFormat="false" ht="15" hidden="false" customHeight="false" outlineLevel="0" collapsed="false">
      <c r="A359" s="51"/>
      <c r="B359" s="65"/>
      <c r="C359" s="51"/>
      <c r="D359" s="51"/>
      <c r="E359" s="76"/>
      <c r="F359" s="66" t="str">
        <f aca="false">IF(C359="","",IFERROR(1/(1/INDEX(Clients!$H$6:$H$25,MATCH(C359,Clients!$B$6:$B$25,0))),Settings!$C$10))</f>
        <v/>
      </c>
      <c r="G359" s="77" t="str">
        <f aca="false">IF(OR(B359="",F359=""),"",B359+F359)</f>
        <v/>
      </c>
      <c r="H359" s="65"/>
      <c r="I359" s="76"/>
      <c r="J359" s="51"/>
      <c r="K359" s="73" t="str">
        <f aca="false">IF(E359="","",E359-N(I359))</f>
        <v/>
      </c>
      <c r="L359" s="78" t="str">
        <f aca="true">IF(E359="","",IF(K359&lt;=0,"Paid",IF(AND(G359&lt;&gt;"",TODAY()&gt;G359),"Overdue",IF(N(I359)&gt;0,"Partial","Open"))))</f>
        <v/>
      </c>
      <c r="M359" s="66" t="str">
        <f aca="true">IF(OR(E359="",G359=""),"",IF(K359&lt;=0,IF(H359="","",MAX(0,H359-G359)),MAX(0,TODAY()-G359)))</f>
        <v/>
      </c>
      <c r="N359" s="78" t="str">
        <f aca="true">IF(OR(E359="",G359=""),"",IF(K359&lt;=0,"",IF(TODAY()&lt;=G359,"Not due yet",IF(TODAY()-G359&lt;=30,"1-30 days late",IF(TODAY()-G359&lt;=60,"31-60 days late",IF(TODAY()-G359&lt;=90,"61-90 days late","90+ days late"))))))</f>
        <v/>
      </c>
      <c r="O359" s="66" t="str">
        <f aca="false">IF(OR(H359="",B359="",K359&gt;0),"",H359-B359)</f>
        <v/>
      </c>
    </row>
    <row r="360" customFormat="false" ht="15" hidden="false" customHeight="false" outlineLevel="0" collapsed="false">
      <c r="A360" s="51"/>
      <c r="B360" s="65"/>
      <c r="C360" s="51"/>
      <c r="D360" s="51"/>
      <c r="E360" s="76"/>
      <c r="F360" s="66" t="str">
        <f aca="false">IF(C360="","",IFERROR(1/(1/INDEX(Clients!$H$6:$H$25,MATCH(C360,Clients!$B$6:$B$25,0))),Settings!$C$10))</f>
        <v/>
      </c>
      <c r="G360" s="77" t="str">
        <f aca="false">IF(OR(B360="",F360=""),"",B360+F360)</f>
        <v/>
      </c>
      <c r="H360" s="65"/>
      <c r="I360" s="76"/>
      <c r="J360" s="51"/>
      <c r="K360" s="73" t="str">
        <f aca="false">IF(E360="","",E360-N(I360))</f>
        <v/>
      </c>
      <c r="L360" s="78" t="str">
        <f aca="true">IF(E360="","",IF(K360&lt;=0,"Paid",IF(AND(G360&lt;&gt;"",TODAY()&gt;G360),"Overdue",IF(N(I360)&gt;0,"Partial","Open"))))</f>
        <v/>
      </c>
      <c r="M360" s="66" t="str">
        <f aca="true">IF(OR(E360="",G360=""),"",IF(K360&lt;=0,IF(H360="","",MAX(0,H360-G360)),MAX(0,TODAY()-G360)))</f>
        <v/>
      </c>
      <c r="N360" s="78" t="str">
        <f aca="true">IF(OR(E360="",G360=""),"",IF(K360&lt;=0,"",IF(TODAY()&lt;=G360,"Not due yet",IF(TODAY()-G360&lt;=30,"1-30 days late",IF(TODAY()-G360&lt;=60,"31-60 days late",IF(TODAY()-G360&lt;=90,"61-90 days late","90+ days late"))))))</f>
        <v/>
      </c>
      <c r="O360" s="66" t="str">
        <f aca="false">IF(OR(H360="",B360="",K360&gt;0),"",H360-B360)</f>
        <v/>
      </c>
    </row>
    <row r="361" customFormat="false" ht="15" hidden="false" customHeight="false" outlineLevel="0" collapsed="false">
      <c r="A361" s="51"/>
      <c r="B361" s="65"/>
      <c r="C361" s="51"/>
      <c r="D361" s="51"/>
      <c r="E361" s="76"/>
      <c r="F361" s="66" t="str">
        <f aca="false">IF(C361="","",IFERROR(1/(1/INDEX(Clients!$H$6:$H$25,MATCH(C361,Clients!$B$6:$B$25,0))),Settings!$C$10))</f>
        <v/>
      </c>
      <c r="G361" s="77" t="str">
        <f aca="false">IF(OR(B361="",F361=""),"",B361+F361)</f>
        <v/>
      </c>
      <c r="H361" s="65"/>
      <c r="I361" s="76"/>
      <c r="J361" s="51"/>
      <c r="K361" s="73" t="str">
        <f aca="false">IF(E361="","",E361-N(I361))</f>
        <v/>
      </c>
      <c r="L361" s="78" t="str">
        <f aca="true">IF(E361="","",IF(K361&lt;=0,"Paid",IF(AND(G361&lt;&gt;"",TODAY()&gt;G361),"Overdue",IF(N(I361)&gt;0,"Partial","Open"))))</f>
        <v/>
      </c>
      <c r="M361" s="66" t="str">
        <f aca="true">IF(OR(E361="",G361=""),"",IF(K361&lt;=0,IF(H361="","",MAX(0,H361-G361)),MAX(0,TODAY()-G361)))</f>
        <v/>
      </c>
      <c r="N361" s="78" t="str">
        <f aca="true">IF(OR(E361="",G361=""),"",IF(K361&lt;=0,"",IF(TODAY()&lt;=G361,"Not due yet",IF(TODAY()-G361&lt;=30,"1-30 days late",IF(TODAY()-G361&lt;=60,"31-60 days late",IF(TODAY()-G361&lt;=90,"61-90 days late","90+ days late"))))))</f>
        <v/>
      </c>
      <c r="O361" s="66" t="str">
        <f aca="false">IF(OR(H361="",B361="",K361&gt;0),"",H361-B361)</f>
        <v/>
      </c>
    </row>
    <row r="362" customFormat="false" ht="15" hidden="false" customHeight="false" outlineLevel="0" collapsed="false">
      <c r="A362" s="51"/>
      <c r="B362" s="65"/>
      <c r="C362" s="51"/>
      <c r="D362" s="51"/>
      <c r="E362" s="76"/>
      <c r="F362" s="66" t="str">
        <f aca="false">IF(C362="","",IFERROR(1/(1/INDEX(Clients!$H$6:$H$25,MATCH(C362,Clients!$B$6:$B$25,0))),Settings!$C$10))</f>
        <v/>
      </c>
      <c r="G362" s="77" t="str">
        <f aca="false">IF(OR(B362="",F362=""),"",B362+F362)</f>
        <v/>
      </c>
      <c r="H362" s="65"/>
      <c r="I362" s="76"/>
      <c r="J362" s="51"/>
      <c r="K362" s="73" t="str">
        <f aca="false">IF(E362="","",E362-N(I362))</f>
        <v/>
      </c>
      <c r="L362" s="78" t="str">
        <f aca="true">IF(E362="","",IF(K362&lt;=0,"Paid",IF(AND(G362&lt;&gt;"",TODAY()&gt;G362),"Overdue",IF(N(I362)&gt;0,"Partial","Open"))))</f>
        <v/>
      </c>
      <c r="M362" s="66" t="str">
        <f aca="true">IF(OR(E362="",G362=""),"",IF(K362&lt;=0,IF(H362="","",MAX(0,H362-G362)),MAX(0,TODAY()-G362)))</f>
        <v/>
      </c>
      <c r="N362" s="78" t="str">
        <f aca="true">IF(OR(E362="",G362=""),"",IF(K362&lt;=0,"",IF(TODAY()&lt;=G362,"Not due yet",IF(TODAY()-G362&lt;=30,"1-30 days late",IF(TODAY()-G362&lt;=60,"31-60 days late",IF(TODAY()-G362&lt;=90,"61-90 days late","90+ days late"))))))</f>
        <v/>
      </c>
      <c r="O362" s="66" t="str">
        <f aca="false">IF(OR(H362="",B362="",K362&gt;0),"",H362-B362)</f>
        <v/>
      </c>
    </row>
    <row r="363" customFormat="false" ht="15" hidden="false" customHeight="false" outlineLevel="0" collapsed="false">
      <c r="A363" s="51"/>
      <c r="B363" s="65"/>
      <c r="C363" s="51"/>
      <c r="D363" s="51"/>
      <c r="E363" s="76"/>
      <c r="F363" s="66" t="str">
        <f aca="false">IF(C363="","",IFERROR(1/(1/INDEX(Clients!$H$6:$H$25,MATCH(C363,Clients!$B$6:$B$25,0))),Settings!$C$10))</f>
        <v/>
      </c>
      <c r="G363" s="77" t="str">
        <f aca="false">IF(OR(B363="",F363=""),"",B363+F363)</f>
        <v/>
      </c>
      <c r="H363" s="65"/>
      <c r="I363" s="76"/>
      <c r="J363" s="51"/>
      <c r="K363" s="73" t="str">
        <f aca="false">IF(E363="","",E363-N(I363))</f>
        <v/>
      </c>
      <c r="L363" s="78" t="str">
        <f aca="true">IF(E363="","",IF(K363&lt;=0,"Paid",IF(AND(G363&lt;&gt;"",TODAY()&gt;G363),"Overdue",IF(N(I363)&gt;0,"Partial","Open"))))</f>
        <v/>
      </c>
      <c r="M363" s="66" t="str">
        <f aca="true">IF(OR(E363="",G363=""),"",IF(K363&lt;=0,IF(H363="","",MAX(0,H363-G363)),MAX(0,TODAY()-G363)))</f>
        <v/>
      </c>
      <c r="N363" s="78" t="str">
        <f aca="true">IF(OR(E363="",G363=""),"",IF(K363&lt;=0,"",IF(TODAY()&lt;=G363,"Not due yet",IF(TODAY()-G363&lt;=30,"1-30 days late",IF(TODAY()-G363&lt;=60,"31-60 days late",IF(TODAY()-G363&lt;=90,"61-90 days late","90+ days late"))))))</f>
        <v/>
      </c>
      <c r="O363" s="66" t="str">
        <f aca="false">IF(OR(H363="",B363="",K363&gt;0),"",H363-B363)</f>
        <v/>
      </c>
    </row>
    <row r="364" customFormat="false" ht="15" hidden="false" customHeight="false" outlineLevel="0" collapsed="false">
      <c r="A364" s="51"/>
      <c r="B364" s="65"/>
      <c r="C364" s="51"/>
      <c r="D364" s="51"/>
      <c r="E364" s="76"/>
      <c r="F364" s="66" t="str">
        <f aca="false">IF(C364="","",IFERROR(1/(1/INDEX(Clients!$H$6:$H$25,MATCH(C364,Clients!$B$6:$B$25,0))),Settings!$C$10))</f>
        <v/>
      </c>
      <c r="G364" s="77" t="str">
        <f aca="false">IF(OR(B364="",F364=""),"",B364+F364)</f>
        <v/>
      </c>
      <c r="H364" s="65"/>
      <c r="I364" s="76"/>
      <c r="J364" s="51"/>
      <c r="K364" s="73" t="str">
        <f aca="false">IF(E364="","",E364-N(I364))</f>
        <v/>
      </c>
      <c r="L364" s="78" t="str">
        <f aca="true">IF(E364="","",IF(K364&lt;=0,"Paid",IF(AND(G364&lt;&gt;"",TODAY()&gt;G364),"Overdue",IF(N(I364)&gt;0,"Partial","Open"))))</f>
        <v/>
      </c>
      <c r="M364" s="66" t="str">
        <f aca="true">IF(OR(E364="",G364=""),"",IF(K364&lt;=0,IF(H364="","",MAX(0,H364-G364)),MAX(0,TODAY()-G364)))</f>
        <v/>
      </c>
      <c r="N364" s="78" t="str">
        <f aca="true">IF(OR(E364="",G364=""),"",IF(K364&lt;=0,"",IF(TODAY()&lt;=G364,"Not due yet",IF(TODAY()-G364&lt;=30,"1-30 days late",IF(TODAY()-G364&lt;=60,"31-60 days late",IF(TODAY()-G364&lt;=90,"61-90 days late","90+ days late"))))))</f>
        <v/>
      </c>
      <c r="O364" s="66" t="str">
        <f aca="false">IF(OR(H364="",B364="",K364&gt;0),"",H364-B364)</f>
        <v/>
      </c>
    </row>
    <row r="365" customFormat="false" ht="15" hidden="false" customHeight="false" outlineLevel="0" collapsed="false">
      <c r="A365" s="51"/>
      <c r="B365" s="65"/>
      <c r="C365" s="51"/>
      <c r="D365" s="51"/>
      <c r="E365" s="76"/>
      <c r="F365" s="66" t="str">
        <f aca="false">IF(C365="","",IFERROR(1/(1/INDEX(Clients!$H$6:$H$25,MATCH(C365,Clients!$B$6:$B$25,0))),Settings!$C$10))</f>
        <v/>
      </c>
      <c r="G365" s="77" t="str">
        <f aca="false">IF(OR(B365="",F365=""),"",B365+F365)</f>
        <v/>
      </c>
      <c r="H365" s="65"/>
      <c r="I365" s="76"/>
      <c r="J365" s="51"/>
      <c r="K365" s="73" t="str">
        <f aca="false">IF(E365="","",E365-N(I365))</f>
        <v/>
      </c>
      <c r="L365" s="78" t="str">
        <f aca="true">IF(E365="","",IF(K365&lt;=0,"Paid",IF(AND(G365&lt;&gt;"",TODAY()&gt;G365),"Overdue",IF(N(I365)&gt;0,"Partial","Open"))))</f>
        <v/>
      </c>
      <c r="M365" s="66" t="str">
        <f aca="true">IF(OR(E365="",G365=""),"",IF(K365&lt;=0,IF(H365="","",MAX(0,H365-G365)),MAX(0,TODAY()-G365)))</f>
        <v/>
      </c>
      <c r="N365" s="78" t="str">
        <f aca="true">IF(OR(E365="",G365=""),"",IF(K365&lt;=0,"",IF(TODAY()&lt;=G365,"Not due yet",IF(TODAY()-G365&lt;=30,"1-30 days late",IF(TODAY()-G365&lt;=60,"31-60 days late",IF(TODAY()-G365&lt;=90,"61-90 days late","90+ days late"))))))</f>
        <v/>
      </c>
      <c r="O365" s="66" t="str">
        <f aca="false">IF(OR(H365="",B365="",K365&gt;0),"",H365-B365)</f>
        <v/>
      </c>
    </row>
    <row r="366" customFormat="false" ht="15" hidden="false" customHeight="false" outlineLevel="0" collapsed="false">
      <c r="A366" s="51"/>
      <c r="B366" s="65"/>
      <c r="C366" s="51"/>
      <c r="D366" s="51"/>
      <c r="E366" s="76"/>
      <c r="F366" s="66" t="str">
        <f aca="false">IF(C366="","",IFERROR(1/(1/INDEX(Clients!$H$6:$H$25,MATCH(C366,Clients!$B$6:$B$25,0))),Settings!$C$10))</f>
        <v/>
      </c>
      <c r="G366" s="77" t="str">
        <f aca="false">IF(OR(B366="",F366=""),"",B366+F366)</f>
        <v/>
      </c>
      <c r="H366" s="65"/>
      <c r="I366" s="76"/>
      <c r="J366" s="51"/>
      <c r="K366" s="73" t="str">
        <f aca="false">IF(E366="","",E366-N(I366))</f>
        <v/>
      </c>
      <c r="L366" s="78" t="str">
        <f aca="true">IF(E366="","",IF(K366&lt;=0,"Paid",IF(AND(G366&lt;&gt;"",TODAY()&gt;G366),"Overdue",IF(N(I366)&gt;0,"Partial","Open"))))</f>
        <v/>
      </c>
      <c r="M366" s="66" t="str">
        <f aca="true">IF(OR(E366="",G366=""),"",IF(K366&lt;=0,IF(H366="","",MAX(0,H366-G366)),MAX(0,TODAY()-G366)))</f>
        <v/>
      </c>
      <c r="N366" s="78" t="str">
        <f aca="true">IF(OR(E366="",G366=""),"",IF(K366&lt;=0,"",IF(TODAY()&lt;=G366,"Not due yet",IF(TODAY()-G366&lt;=30,"1-30 days late",IF(TODAY()-G366&lt;=60,"31-60 days late",IF(TODAY()-G366&lt;=90,"61-90 days late","90+ days late"))))))</f>
        <v/>
      </c>
      <c r="O366" s="66" t="str">
        <f aca="false">IF(OR(H366="",B366="",K366&gt;0),"",H366-B366)</f>
        <v/>
      </c>
    </row>
    <row r="367" customFormat="false" ht="15" hidden="false" customHeight="false" outlineLevel="0" collapsed="false">
      <c r="A367" s="51"/>
      <c r="B367" s="65"/>
      <c r="C367" s="51"/>
      <c r="D367" s="51"/>
      <c r="E367" s="76"/>
      <c r="F367" s="66" t="str">
        <f aca="false">IF(C367="","",IFERROR(1/(1/INDEX(Clients!$H$6:$H$25,MATCH(C367,Clients!$B$6:$B$25,0))),Settings!$C$10))</f>
        <v/>
      </c>
      <c r="G367" s="77" t="str">
        <f aca="false">IF(OR(B367="",F367=""),"",B367+F367)</f>
        <v/>
      </c>
      <c r="H367" s="65"/>
      <c r="I367" s="76"/>
      <c r="J367" s="51"/>
      <c r="K367" s="73" t="str">
        <f aca="false">IF(E367="","",E367-N(I367))</f>
        <v/>
      </c>
      <c r="L367" s="78" t="str">
        <f aca="true">IF(E367="","",IF(K367&lt;=0,"Paid",IF(AND(G367&lt;&gt;"",TODAY()&gt;G367),"Overdue",IF(N(I367)&gt;0,"Partial","Open"))))</f>
        <v/>
      </c>
      <c r="M367" s="66" t="str">
        <f aca="true">IF(OR(E367="",G367=""),"",IF(K367&lt;=0,IF(H367="","",MAX(0,H367-G367)),MAX(0,TODAY()-G367)))</f>
        <v/>
      </c>
      <c r="N367" s="78" t="str">
        <f aca="true">IF(OR(E367="",G367=""),"",IF(K367&lt;=0,"",IF(TODAY()&lt;=G367,"Not due yet",IF(TODAY()-G367&lt;=30,"1-30 days late",IF(TODAY()-G367&lt;=60,"31-60 days late",IF(TODAY()-G367&lt;=90,"61-90 days late","90+ days late"))))))</f>
        <v/>
      </c>
      <c r="O367" s="66" t="str">
        <f aca="false">IF(OR(H367="",B367="",K367&gt;0),"",H367-B367)</f>
        <v/>
      </c>
    </row>
    <row r="368" customFormat="false" ht="15" hidden="false" customHeight="false" outlineLevel="0" collapsed="false">
      <c r="A368" s="51"/>
      <c r="B368" s="65"/>
      <c r="C368" s="51"/>
      <c r="D368" s="51"/>
      <c r="E368" s="76"/>
      <c r="F368" s="66" t="str">
        <f aca="false">IF(C368="","",IFERROR(1/(1/INDEX(Clients!$H$6:$H$25,MATCH(C368,Clients!$B$6:$B$25,0))),Settings!$C$10))</f>
        <v/>
      </c>
      <c r="G368" s="77" t="str">
        <f aca="false">IF(OR(B368="",F368=""),"",B368+F368)</f>
        <v/>
      </c>
      <c r="H368" s="65"/>
      <c r="I368" s="76"/>
      <c r="J368" s="51"/>
      <c r="K368" s="73" t="str">
        <f aca="false">IF(E368="","",E368-N(I368))</f>
        <v/>
      </c>
      <c r="L368" s="78" t="str">
        <f aca="true">IF(E368="","",IF(K368&lt;=0,"Paid",IF(AND(G368&lt;&gt;"",TODAY()&gt;G368),"Overdue",IF(N(I368)&gt;0,"Partial","Open"))))</f>
        <v/>
      </c>
      <c r="M368" s="66" t="str">
        <f aca="true">IF(OR(E368="",G368=""),"",IF(K368&lt;=0,IF(H368="","",MAX(0,H368-G368)),MAX(0,TODAY()-G368)))</f>
        <v/>
      </c>
      <c r="N368" s="78" t="str">
        <f aca="true">IF(OR(E368="",G368=""),"",IF(K368&lt;=0,"",IF(TODAY()&lt;=G368,"Not due yet",IF(TODAY()-G368&lt;=30,"1-30 days late",IF(TODAY()-G368&lt;=60,"31-60 days late",IF(TODAY()-G368&lt;=90,"61-90 days late","90+ days late"))))))</f>
        <v/>
      </c>
      <c r="O368" s="66" t="str">
        <f aca="false">IF(OR(H368="",B368="",K368&gt;0),"",H368-B368)</f>
        <v/>
      </c>
    </row>
    <row r="369" customFormat="false" ht="15" hidden="false" customHeight="false" outlineLevel="0" collapsed="false">
      <c r="A369" s="51"/>
      <c r="B369" s="65"/>
      <c r="C369" s="51"/>
      <c r="D369" s="51"/>
      <c r="E369" s="76"/>
      <c r="F369" s="66" t="str">
        <f aca="false">IF(C369="","",IFERROR(1/(1/INDEX(Clients!$H$6:$H$25,MATCH(C369,Clients!$B$6:$B$25,0))),Settings!$C$10))</f>
        <v/>
      </c>
      <c r="G369" s="77" t="str">
        <f aca="false">IF(OR(B369="",F369=""),"",B369+F369)</f>
        <v/>
      </c>
      <c r="H369" s="65"/>
      <c r="I369" s="76"/>
      <c r="J369" s="51"/>
      <c r="K369" s="73" t="str">
        <f aca="false">IF(E369="","",E369-N(I369))</f>
        <v/>
      </c>
      <c r="L369" s="78" t="str">
        <f aca="true">IF(E369="","",IF(K369&lt;=0,"Paid",IF(AND(G369&lt;&gt;"",TODAY()&gt;G369),"Overdue",IF(N(I369)&gt;0,"Partial","Open"))))</f>
        <v/>
      </c>
      <c r="M369" s="66" t="str">
        <f aca="true">IF(OR(E369="",G369=""),"",IF(K369&lt;=0,IF(H369="","",MAX(0,H369-G369)),MAX(0,TODAY()-G369)))</f>
        <v/>
      </c>
      <c r="N369" s="78" t="str">
        <f aca="true">IF(OR(E369="",G369=""),"",IF(K369&lt;=0,"",IF(TODAY()&lt;=G369,"Not due yet",IF(TODAY()-G369&lt;=30,"1-30 days late",IF(TODAY()-G369&lt;=60,"31-60 days late",IF(TODAY()-G369&lt;=90,"61-90 days late","90+ days late"))))))</f>
        <v/>
      </c>
      <c r="O369" s="66" t="str">
        <f aca="false">IF(OR(H369="",B369="",K369&gt;0),"",H369-B369)</f>
        <v/>
      </c>
    </row>
    <row r="370" customFormat="false" ht="15" hidden="false" customHeight="false" outlineLevel="0" collapsed="false">
      <c r="A370" s="51"/>
      <c r="B370" s="65"/>
      <c r="C370" s="51"/>
      <c r="D370" s="51"/>
      <c r="E370" s="76"/>
      <c r="F370" s="66" t="str">
        <f aca="false">IF(C370="","",IFERROR(1/(1/INDEX(Clients!$H$6:$H$25,MATCH(C370,Clients!$B$6:$B$25,0))),Settings!$C$10))</f>
        <v/>
      </c>
      <c r="G370" s="77" t="str">
        <f aca="false">IF(OR(B370="",F370=""),"",B370+F370)</f>
        <v/>
      </c>
      <c r="H370" s="65"/>
      <c r="I370" s="76"/>
      <c r="J370" s="51"/>
      <c r="K370" s="73" t="str">
        <f aca="false">IF(E370="","",E370-N(I370))</f>
        <v/>
      </c>
      <c r="L370" s="78" t="str">
        <f aca="true">IF(E370="","",IF(K370&lt;=0,"Paid",IF(AND(G370&lt;&gt;"",TODAY()&gt;G370),"Overdue",IF(N(I370)&gt;0,"Partial","Open"))))</f>
        <v/>
      </c>
      <c r="M370" s="66" t="str">
        <f aca="true">IF(OR(E370="",G370=""),"",IF(K370&lt;=0,IF(H370="","",MAX(0,H370-G370)),MAX(0,TODAY()-G370)))</f>
        <v/>
      </c>
      <c r="N370" s="78" t="str">
        <f aca="true">IF(OR(E370="",G370=""),"",IF(K370&lt;=0,"",IF(TODAY()&lt;=G370,"Not due yet",IF(TODAY()-G370&lt;=30,"1-30 days late",IF(TODAY()-G370&lt;=60,"31-60 days late",IF(TODAY()-G370&lt;=90,"61-90 days late","90+ days late"))))))</f>
        <v/>
      </c>
      <c r="O370" s="66" t="str">
        <f aca="false">IF(OR(H370="",B370="",K370&gt;0),"",H370-B370)</f>
        <v/>
      </c>
    </row>
    <row r="371" customFormat="false" ht="15" hidden="false" customHeight="false" outlineLevel="0" collapsed="false">
      <c r="A371" s="51"/>
      <c r="B371" s="65"/>
      <c r="C371" s="51"/>
      <c r="D371" s="51"/>
      <c r="E371" s="76"/>
      <c r="F371" s="66" t="str">
        <f aca="false">IF(C371="","",IFERROR(1/(1/INDEX(Clients!$H$6:$H$25,MATCH(C371,Clients!$B$6:$B$25,0))),Settings!$C$10))</f>
        <v/>
      </c>
      <c r="G371" s="77" t="str">
        <f aca="false">IF(OR(B371="",F371=""),"",B371+F371)</f>
        <v/>
      </c>
      <c r="H371" s="65"/>
      <c r="I371" s="76"/>
      <c r="J371" s="51"/>
      <c r="K371" s="73" t="str">
        <f aca="false">IF(E371="","",E371-N(I371))</f>
        <v/>
      </c>
      <c r="L371" s="78" t="str">
        <f aca="true">IF(E371="","",IF(K371&lt;=0,"Paid",IF(AND(G371&lt;&gt;"",TODAY()&gt;G371),"Overdue",IF(N(I371)&gt;0,"Partial","Open"))))</f>
        <v/>
      </c>
      <c r="M371" s="66" t="str">
        <f aca="true">IF(OR(E371="",G371=""),"",IF(K371&lt;=0,IF(H371="","",MAX(0,H371-G371)),MAX(0,TODAY()-G371)))</f>
        <v/>
      </c>
      <c r="N371" s="78" t="str">
        <f aca="true">IF(OR(E371="",G371=""),"",IF(K371&lt;=0,"",IF(TODAY()&lt;=G371,"Not due yet",IF(TODAY()-G371&lt;=30,"1-30 days late",IF(TODAY()-G371&lt;=60,"31-60 days late",IF(TODAY()-G371&lt;=90,"61-90 days late","90+ days late"))))))</f>
        <v/>
      </c>
      <c r="O371" s="66" t="str">
        <f aca="false">IF(OR(H371="",B371="",K371&gt;0),"",H371-B371)</f>
        <v/>
      </c>
    </row>
    <row r="372" customFormat="false" ht="15" hidden="false" customHeight="false" outlineLevel="0" collapsed="false">
      <c r="A372" s="51"/>
      <c r="B372" s="65"/>
      <c r="C372" s="51"/>
      <c r="D372" s="51"/>
      <c r="E372" s="76"/>
      <c r="F372" s="66" t="str">
        <f aca="false">IF(C372="","",IFERROR(1/(1/INDEX(Clients!$H$6:$H$25,MATCH(C372,Clients!$B$6:$B$25,0))),Settings!$C$10))</f>
        <v/>
      </c>
      <c r="G372" s="77" t="str">
        <f aca="false">IF(OR(B372="",F372=""),"",B372+F372)</f>
        <v/>
      </c>
      <c r="H372" s="65"/>
      <c r="I372" s="76"/>
      <c r="J372" s="51"/>
      <c r="K372" s="73" t="str">
        <f aca="false">IF(E372="","",E372-N(I372))</f>
        <v/>
      </c>
      <c r="L372" s="78" t="str">
        <f aca="true">IF(E372="","",IF(K372&lt;=0,"Paid",IF(AND(G372&lt;&gt;"",TODAY()&gt;G372),"Overdue",IF(N(I372)&gt;0,"Partial","Open"))))</f>
        <v/>
      </c>
      <c r="M372" s="66" t="str">
        <f aca="true">IF(OR(E372="",G372=""),"",IF(K372&lt;=0,IF(H372="","",MAX(0,H372-G372)),MAX(0,TODAY()-G372)))</f>
        <v/>
      </c>
      <c r="N372" s="78" t="str">
        <f aca="true">IF(OR(E372="",G372=""),"",IF(K372&lt;=0,"",IF(TODAY()&lt;=G372,"Not due yet",IF(TODAY()-G372&lt;=30,"1-30 days late",IF(TODAY()-G372&lt;=60,"31-60 days late",IF(TODAY()-G372&lt;=90,"61-90 days late","90+ days late"))))))</f>
        <v/>
      </c>
      <c r="O372" s="66" t="str">
        <f aca="false">IF(OR(H372="",B372="",K372&gt;0),"",H372-B372)</f>
        <v/>
      </c>
    </row>
    <row r="373" customFormat="false" ht="15" hidden="false" customHeight="false" outlineLevel="0" collapsed="false">
      <c r="A373" s="51"/>
      <c r="B373" s="65"/>
      <c r="C373" s="51"/>
      <c r="D373" s="51"/>
      <c r="E373" s="76"/>
      <c r="F373" s="66" t="str">
        <f aca="false">IF(C373="","",IFERROR(1/(1/INDEX(Clients!$H$6:$H$25,MATCH(C373,Clients!$B$6:$B$25,0))),Settings!$C$10))</f>
        <v/>
      </c>
      <c r="G373" s="77" t="str">
        <f aca="false">IF(OR(B373="",F373=""),"",B373+F373)</f>
        <v/>
      </c>
      <c r="H373" s="65"/>
      <c r="I373" s="76"/>
      <c r="J373" s="51"/>
      <c r="K373" s="73" t="str">
        <f aca="false">IF(E373="","",E373-N(I373))</f>
        <v/>
      </c>
      <c r="L373" s="78" t="str">
        <f aca="true">IF(E373="","",IF(K373&lt;=0,"Paid",IF(AND(G373&lt;&gt;"",TODAY()&gt;G373),"Overdue",IF(N(I373)&gt;0,"Partial","Open"))))</f>
        <v/>
      </c>
      <c r="M373" s="66" t="str">
        <f aca="true">IF(OR(E373="",G373=""),"",IF(K373&lt;=0,IF(H373="","",MAX(0,H373-G373)),MAX(0,TODAY()-G373)))</f>
        <v/>
      </c>
      <c r="N373" s="78" t="str">
        <f aca="true">IF(OR(E373="",G373=""),"",IF(K373&lt;=0,"",IF(TODAY()&lt;=G373,"Not due yet",IF(TODAY()-G373&lt;=30,"1-30 days late",IF(TODAY()-G373&lt;=60,"31-60 days late",IF(TODAY()-G373&lt;=90,"61-90 days late","90+ days late"))))))</f>
        <v/>
      </c>
      <c r="O373" s="66" t="str">
        <f aca="false">IF(OR(H373="",B373="",K373&gt;0),"",H373-B373)</f>
        <v/>
      </c>
    </row>
    <row r="374" customFormat="false" ht="15" hidden="false" customHeight="false" outlineLevel="0" collapsed="false">
      <c r="A374" s="51"/>
      <c r="B374" s="65"/>
      <c r="C374" s="51"/>
      <c r="D374" s="51"/>
      <c r="E374" s="76"/>
      <c r="F374" s="66" t="str">
        <f aca="false">IF(C374="","",IFERROR(1/(1/INDEX(Clients!$H$6:$H$25,MATCH(C374,Clients!$B$6:$B$25,0))),Settings!$C$10))</f>
        <v/>
      </c>
      <c r="G374" s="77" t="str">
        <f aca="false">IF(OR(B374="",F374=""),"",B374+F374)</f>
        <v/>
      </c>
      <c r="H374" s="65"/>
      <c r="I374" s="76"/>
      <c r="J374" s="51"/>
      <c r="K374" s="73" t="str">
        <f aca="false">IF(E374="","",E374-N(I374))</f>
        <v/>
      </c>
      <c r="L374" s="78" t="str">
        <f aca="true">IF(E374="","",IF(K374&lt;=0,"Paid",IF(AND(G374&lt;&gt;"",TODAY()&gt;G374),"Overdue",IF(N(I374)&gt;0,"Partial","Open"))))</f>
        <v/>
      </c>
      <c r="M374" s="66" t="str">
        <f aca="true">IF(OR(E374="",G374=""),"",IF(K374&lt;=0,IF(H374="","",MAX(0,H374-G374)),MAX(0,TODAY()-G374)))</f>
        <v/>
      </c>
      <c r="N374" s="78" t="str">
        <f aca="true">IF(OR(E374="",G374=""),"",IF(K374&lt;=0,"",IF(TODAY()&lt;=G374,"Not due yet",IF(TODAY()-G374&lt;=30,"1-30 days late",IF(TODAY()-G374&lt;=60,"31-60 days late",IF(TODAY()-G374&lt;=90,"61-90 days late","90+ days late"))))))</f>
        <v/>
      </c>
      <c r="O374" s="66" t="str">
        <f aca="false">IF(OR(H374="",B374="",K374&gt;0),"",H374-B374)</f>
        <v/>
      </c>
    </row>
    <row r="375" customFormat="false" ht="15" hidden="false" customHeight="false" outlineLevel="0" collapsed="false">
      <c r="A375" s="51"/>
      <c r="B375" s="65"/>
      <c r="C375" s="51"/>
      <c r="D375" s="51"/>
      <c r="E375" s="76"/>
      <c r="F375" s="66" t="str">
        <f aca="false">IF(C375="","",IFERROR(1/(1/INDEX(Clients!$H$6:$H$25,MATCH(C375,Clients!$B$6:$B$25,0))),Settings!$C$10))</f>
        <v/>
      </c>
      <c r="G375" s="77" t="str">
        <f aca="false">IF(OR(B375="",F375=""),"",B375+F375)</f>
        <v/>
      </c>
      <c r="H375" s="65"/>
      <c r="I375" s="76"/>
      <c r="J375" s="51"/>
      <c r="K375" s="73" t="str">
        <f aca="false">IF(E375="","",E375-N(I375))</f>
        <v/>
      </c>
      <c r="L375" s="78" t="str">
        <f aca="true">IF(E375="","",IF(K375&lt;=0,"Paid",IF(AND(G375&lt;&gt;"",TODAY()&gt;G375),"Overdue",IF(N(I375)&gt;0,"Partial","Open"))))</f>
        <v/>
      </c>
      <c r="M375" s="66" t="str">
        <f aca="true">IF(OR(E375="",G375=""),"",IF(K375&lt;=0,IF(H375="","",MAX(0,H375-G375)),MAX(0,TODAY()-G375)))</f>
        <v/>
      </c>
      <c r="N375" s="78" t="str">
        <f aca="true">IF(OR(E375="",G375=""),"",IF(K375&lt;=0,"",IF(TODAY()&lt;=G375,"Not due yet",IF(TODAY()-G375&lt;=30,"1-30 days late",IF(TODAY()-G375&lt;=60,"31-60 days late",IF(TODAY()-G375&lt;=90,"61-90 days late","90+ days late"))))))</f>
        <v/>
      </c>
      <c r="O375" s="66" t="str">
        <f aca="false">IF(OR(H375="",B375="",K375&gt;0),"",H375-B375)</f>
        <v/>
      </c>
    </row>
    <row r="376" customFormat="false" ht="15" hidden="false" customHeight="false" outlineLevel="0" collapsed="false">
      <c r="A376" s="51"/>
      <c r="B376" s="65"/>
      <c r="C376" s="51"/>
      <c r="D376" s="51"/>
      <c r="E376" s="76"/>
      <c r="F376" s="66" t="str">
        <f aca="false">IF(C376="","",IFERROR(1/(1/INDEX(Clients!$H$6:$H$25,MATCH(C376,Clients!$B$6:$B$25,0))),Settings!$C$10))</f>
        <v/>
      </c>
      <c r="G376" s="77" t="str">
        <f aca="false">IF(OR(B376="",F376=""),"",B376+F376)</f>
        <v/>
      </c>
      <c r="H376" s="65"/>
      <c r="I376" s="76"/>
      <c r="J376" s="51"/>
      <c r="K376" s="73" t="str">
        <f aca="false">IF(E376="","",E376-N(I376))</f>
        <v/>
      </c>
      <c r="L376" s="78" t="str">
        <f aca="true">IF(E376="","",IF(K376&lt;=0,"Paid",IF(AND(G376&lt;&gt;"",TODAY()&gt;G376),"Overdue",IF(N(I376)&gt;0,"Partial","Open"))))</f>
        <v/>
      </c>
      <c r="M376" s="66" t="str">
        <f aca="true">IF(OR(E376="",G376=""),"",IF(K376&lt;=0,IF(H376="","",MAX(0,H376-G376)),MAX(0,TODAY()-G376)))</f>
        <v/>
      </c>
      <c r="N376" s="78" t="str">
        <f aca="true">IF(OR(E376="",G376=""),"",IF(K376&lt;=0,"",IF(TODAY()&lt;=G376,"Not due yet",IF(TODAY()-G376&lt;=30,"1-30 days late",IF(TODAY()-G376&lt;=60,"31-60 days late",IF(TODAY()-G376&lt;=90,"61-90 days late","90+ days late"))))))</f>
        <v/>
      </c>
      <c r="O376" s="66" t="str">
        <f aca="false">IF(OR(H376="",B376="",K376&gt;0),"",H376-B376)</f>
        <v/>
      </c>
    </row>
    <row r="377" customFormat="false" ht="15" hidden="false" customHeight="false" outlineLevel="0" collapsed="false">
      <c r="A377" s="51"/>
      <c r="B377" s="65"/>
      <c r="C377" s="51"/>
      <c r="D377" s="51"/>
      <c r="E377" s="76"/>
      <c r="F377" s="66" t="str">
        <f aca="false">IF(C377="","",IFERROR(1/(1/INDEX(Clients!$H$6:$H$25,MATCH(C377,Clients!$B$6:$B$25,0))),Settings!$C$10))</f>
        <v/>
      </c>
      <c r="G377" s="77" t="str">
        <f aca="false">IF(OR(B377="",F377=""),"",B377+F377)</f>
        <v/>
      </c>
      <c r="H377" s="65"/>
      <c r="I377" s="76"/>
      <c r="J377" s="51"/>
      <c r="K377" s="73" t="str">
        <f aca="false">IF(E377="","",E377-N(I377))</f>
        <v/>
      </c>
      <c r="L377" s="78" t="str">
        <f aca="true">IF(E377="","",IF(K377&lt;=0,"Paid",IF(AND(G377&lt;&gt;"",TODAY()&gt;G377),"Overdue",IF(N(I377)&gt;0,"Partial","Open"))))</f>
        <v/>
      </c>
      <c r="M377" s="66" t="str">
        <f aca="true">IF(OR(E377="",G377=""),"",IF(K377&lt;=0,IF(H377="","",MAX(0,H377-G377)),MAX(0,TODAY()-G377)))</f>
        <v/>
      </c>
      <c r="N377" s="78" t="str">
        <f aca="true">IF(OR(E377="",G377=""),"",IF(K377&lt;=0,"",IF(TODAY()&lt;=G377,"Not due yet",IF(TODAY()-G377&lt;=30,"1-30 days late",IF(TODAY()-G377&lt;=60,"31-60 days late",IF(TODAY()-G377&lt;=90,"61-90 days late","90+ days late"))))))</f>
        <v/>
      </c>
      <c r="O377" s="66" t="str">
        <f aca="false">IF(OR(H377="",B377="",K377&gt;0),"",H377-B377)</f>
        <v/>
      </c>
    </row>
    <row r="378" customFormat="false" ht="15" hidden="false" customHeight="false" outlineLevel="0" collapsed="false">
      <c r="A378" s="51"/>
      <c r="B378" s="65"/>
      <c r="C378" s="51"/>
      <c r="D378" s="51"/>
      <c r="E378" s="76"/>
      <c r="F378" s="66" t="str">
        <f aca="false">IF(C378="","",IFERROR(1/(1/INDEX(Clients!$H$6:$H$25,MATCH(C378,Clients!$B$6:$B$25,0))),Settings!$C$10))</f>
        <v/>
      </c>
      <c r="G378" s="77" t="str">
        <f aca="false">IF(OR(B378="",F378=""),"",B378+F378)</f>
        <v/>
      </c>
      <c r="H378" s="65"/>
      <c r="I378" s="76"/>
      <c r="J378" s="51"/>
      <c r="K378" s="73" t="str">
        <f aca="false">IF(E378="","",E378-N(I378))</f>
        <v/>
      </c>
      <c r="L378" s="78" t="str">
        <f aca="true">IF(E378="","",IF(K378&lt;=0,"Paid",IF(AND(G378&lt;&gt;"",TODAY()&gt;G378),"Overdue",IF(N(I378)&gt;0,"Partial","Open"))))</f>
        <v/>
      </c>
      <c r="M378" s="66" t="str">
        <f aca="true">IF(OR(E378="",G378=""),"",IF(K378&lt;=0,IF(H378="","",MAX(0,H378-G378)),MAX(0,TODAY()-G378)))</f>
        <v/>
      </c>
      <c r="N378" s="78" t="str">
        <f aca="true">IF(OR(E378="",G378=""),"",IF(K378&lt;=0,"",IF(TODAY()&lt;=G378,"Not due yet",IF(TODAY()-G378&lt;=30,"1-30 days late",IF(TODAY()-G378&lt;=60,"31-60 days late",IF(TODAY()-G378&lt;=90,"61-90 days late","90+ days late"))))))</f>
        <v/>
      </c>
      <c r="O378" s="66" t="str">
        <f aca="false">IF(OR(H378="",B378="",K378&gt;0),"",H378-B378)</f>
        <v/>
      </c>
    </row>
    <row r="379" customFormat="false" ht="15" hidden="false" customHeight="false" outlineLevel="0" collapsed="false">
      <c r="A379" s="51"/>
      <c r="B379" s="65"/>
      <c r="C379" s="51"/>
      <c r="D379" s="51"/>
      <c r="E379" s="76"/>
      <c r="F379" s="66" t="str">
        <f aca="false">IF(C379="","",IFERROR(1/(1/INDEX(Clients!$H$6:$H$25,MATCH(C379,Clients!$B$6:$B$25,0))),Settings!$C$10))</f>
        <v/>
      </c>
      <c r="G379" s="77" t="str">
        <f aca="false">IF(OR(B379="",F379=""),"",B379+F379)</f>
        <v/>
      </c>
      <c r="H379" s="65"/>
      <c r="I379" s="76"/>
      <c r="J379" s="51"/>
      <c r="K379" s="73" t="str">
        <f aca="false">IF(E379="","",E379-N(I379))</f>
        <v/>
      </c>
      <c r="L379" s="78" t="str">
        <f aca="true">IF(E379="","",IF(K379&lt;=0,"Paid",IF(AND(G379&lt;&gt;"",TODAY()&gt;G379),"Overdue",IF(N(I379)&gt;0,"Partial","Open"))))</f>
        <v/>
      </c>
      <c r="M379" s="66" t="str">
        <f aca="true">IF(OR(E379="",G379=""),"",IF(K379&lt;=0,IF(H379="","",MAX(0,H379-G379)),MAX(0,TODAY()-G379)))</f>
        <v/>
      </c>
      <c r="N379" s="78" t="str">
        <f aca="true">IF(OR(E379="",G379=""),"",IF(K379&lt;=0,"",IF(TODAY()&lt;=G379,"Not due yet",IF(TODAY()-G379&lt;=30,"1-30 days late",IF(TODAY()-G379&lt;=60,"31-60 days late",IF(TODAY()-G379&lt;=90,"61-90 days late","90+ days late"))))))</f>
        <v/>
      </c>
      <c r="O379" s="66" t="str">
        <f aca="false">IF(OR(H379="",B379="",K379&gt;0),"",H379-B379)</f>
        <v/>
      </c>
    </row>
    <row r="380" customFormat="false" ht="15" hidden="false" customHeight="false" outlineLevel="0" collapsed="false">
      <c r="A380" s="51"/>
      <c r="B380" s="65"/>
      <c r="C380" s="51"/>
      <c r="D380" s="51"/>
      <c r="E380" s="76"/>
      <c r="F380" s="66" t="str">
        <f aca="false">IF(C380="","",IFERROR(1/(1/INDEX(Clients!$H$6:$H$25,MATCH(C380,Clients!$B$6:$B$25,0))),Settings!$C$10))</f>
        <v/>
      </c>
      <c r="G380" s="77" t="str">
        <f aca="false">IF(OR(B380="",F380=""),"",B380+F380)</f>
        <v/>
      </c>
      <c r="H380" s="65"/>
      <c r="I380" s="76"/>
      <c r="J380" s="51"/>
      <c r="K380" s="73" t="str">
        <f aca="false">IF(E380="","",E380-N(I380))</f>
        <v/>
      </c>
      <c r="L380" s="78" t="str">
        <f aca="true">IF(E380="","",IF(K380&lt;=0,"Paid",IF(AND(G380&lt;&gt;"",TODAY()&gt;G380),"Overdue",IF(N(I380)&gt;0,"Partial","Open"))))</f>
        <v/>
      </c>
      <c r="M380" s="66" t="str">
        <f aca="true">IF(OR(E380="",G380=""),"",IF(K380&lt;=0,IF(H380="","",MAX(0,H380-G380)),MAX(0,TODAY()-G380)))</f>
        <v/>
      </c>
      <c r="N380" s="78" t="str">
        <f aca="true">IF(OR(E380="",G380=""),"",IF(K380&lt;=0,"",IF(TODAY()&lt;=G380,"Not due yet",IF(TODAY()-G380&lt;=30,"1-30 days late",IF(TODAY()-G380&lt;=60,"31-60 days late",IF(TODAY()-G380&lt;=90,"61-90 days late","90+ days late"))))))</f>
        <v/>
      </c>
      <c r="O380" s="66" t="str">
        <f aca="false">IF(OR(H380="",B380="",K380&gt;0),"",H380-B380)</f>
        <v/>
      </c>
    </row>
    <row r="381" customFormat="false" ht="15" hidden="false" customHeight="false" outlineLevel="0" collapsed="false">
      <c r="A381" s="51"/>
      <c r="B381" s="65"/>
      <c r="C381" s="51"/>
      <c r="D381" s="51"/>
      <c r="E381" s="76"/>
      <c r="F381" s="66" t="str">
        <f aca="false">IF(C381="","",IFERROR(1/(1/INDEX(Clients!$H$6:$H$25,MATCH(C381,Clients!$B$6:$B$25,0))),Settings!$C$10))</f>
        <v/>
      </c>
      <c r="G381" s="77" t="str">
        <f aca="false">IF(OR(B381="",F381=""),"",B381+F381)</f>
        <v/>
      </c>
      <c r="H381" s="65"/>
      <c r="I381" s="76"/>
      <c r="J381" s="51"/>
      <c r="K381" s="73" t="str">
        <f aca="false">IF(E381="","",E381-N(I381))</f>
        <v/>
      </c>
      <c r="L381" s="78" t="str">
        <f aca="true">IF(E381="","",IF(K381&lt;=0,"Paid",IF(AND(G381&lt;&gt;"",TODAY()&gt;G381),"Overdue",IF(N(I381)&gt;0,"Partial","Open"))))</f>
        <v/>
      </c>
      <c r="M381" s="66" t="str">
        <f aca="true">IF(OR(E381="",G381=""),"",IF(K381&lt;=0,IF(H381="","",MAX(0,H381-G381)),MAX(0,TODAY()-G381)))</f>
        <v/>
      </c>
      <c r="N381" s="78" t="str">
        <f aca="true">IF(OR(E381="",G381=""),"",IF(K381&lt;=0,"",IF(TODAY()&lt;=G381,"Not due yet",IF(TODAY()-G381&lt;=30,"1-30 days late",IF(TODAY()-G381&lt;=60,"31-60 days late",IF(TODAY()-G381&lt;=90,"61-90 days late","90+ days late"))))))</f>
        <v/>
      </c>
      <c r="O381" s="66" t="str">
        <f aca="false">IF(OR(H381="",B381="",K381&gt;0),"",H381-B381)</f>
        <v/>
      </c>
    </row>
    <row r="382" customFormat="false" ht="15" hidden="false" customHeight="false" outlineLevel="0" collapsed="false">
      <c r="A382" s="51"/>
      <c r="B382" s="65"/>
      <c r="C382" s="51"/>
      <c r="D382" s="51"/>
      <c r="E382" s="76"/>
      <c r="F382" s="66" t="str">
        <f aca="false">IF(C382="","",IFERROR(1/(1/INDEX(Clients!$H$6:$H$25,MATCH(C382,Clients!$B$6:$B$25,0))),Settings!$C$10))</f>
        <v/>
      </c>
      <c r="G382" s="77" t="str">
        <f aca="false">IF(OR(B382="",F382=""),"",B382+F382)</f>
        <v/>
      </c>
      <c r="H382" s="65"/>
      <c r="I382" s="76"/>
      <c r="J382" s="51"/>
      <c r="K382" s="73" t="str">
        <f aca="false">IF(E382="","",E382-N(I382))</f>
        <v/>
      </c>
      <c r="L382" s="78" t="str">
        <f aca="true">IF(E382="","",IF(K382&lt;=0,"Paid",IF(AND(G382&lt;&gt;"",TODAY()&gt;G382),"Overdue",IF(N(I382)&gt;0,"Partial","Open"))))</f>
        <v/>
      </c>
      <c r="M382" s="66" t="str">
        <f aca="true">IF(OR(E382="",G382=""),"",IF(K382&lt;=0,IF(H382="","",MAX(0,H382-G382)),MAX(0,TODAY()-G382)))</f>
        <v/>
      </c>
      <c r="N382" s="78" t="str">
        <f aca="true">IF(OR(E382="",G382=""),"",IF(K382&lt;=0,"",IF(TODAY()&lt;=G382,"Not due yet",IF(TODAY()-G382&lt;=30,"1-30 days late",IF(TODAY()-G382&lt;=60,"31-60 days late",IF(TODAY()-G382&lt;=90,"61-90 days late","90+ days late"))))))</f>
        <v/>
      </c>
      <c r="O382" s="66" t="str">
        <f aca="false">IF(OR(H382="",B382="",K382&gt;0),"",H382-B382)</f>
        <v/>
      </c>
    </row>
    <row r="383" customFormat="false" ht="15" hidden="false" customHeight="false" outlineLevel="0" collapsed="false">
      <c r="A383" s="51"/>
      <c r="B383" s="65"/>
      <c r="C383" s="51"/>
      <c r="D383" s="51"/>
      <c r="E383" s="76"/>
      <c r="F383" s="66" t="str">
        <f aca="false">IF(C383="","",IFERROR(1/(1/INDEX(Clients!$H$6:$H$25,MATCH(C383,Clients!$B$6:$B$25,0))),Settings!$C$10))</f>
        <v/>
      </c>
      <c r="G383" s="77" t="str">
        <f aca="false">IF(OR(B383="",F383=""),"",B383+F383)</f>
        <v/>
      </c>
      <c r="H383" s="65"/>
      <c r="I383" s="76"/>
      <c r="J383" s="51"/>
      <c r="K383" s="73" t="str">
        <f aca="false">IF(E383="","",E383-N(I383))</f>
        <v/>
      </c>
      <c r="L383" s="78" t="str">
        <f aca="true">IF(E383="","",IF(K383&lt;=0,"Paid",IF(AND(G383&lt;&gt;"",TODAY()&gt;G383),"Overdue",IF(N(I383)&gt;0,"Partial","Open"))))</f>
        <v/>
      </c>
      <c r="M383" s="66" t="str">
        <f aca="true">IF(OR(E383="",G383=""),"",IF(K383&lt;=0,IF(H383="","",MAX(0,H383-G383)),MAX(0,TODAY()-G383)))</f>
        <v/>
      </c>
      <c r="N383" s="78" t="str">
        <f aca="true">IF(OR(E383="",G383=""),"",IF(K383&lt;=0,"",IF(TODAY()&lt;=G383,"Not due yet",IF(TODAY()-G383&lt;=30,"1-30 days late",IF(TODAY()-G383&lt;=60,"31-60 days late",IF(TODAY()-G383&lt;=90,"61-90 days late","90+ days late"))))))</f>
        <v/>
      </c>
      <c r="O383" s="66" t="str">
        <f aca="false">IF(OR(H383="",B383="",K383&gt;0),"",H383-B383)</f>
        <v/>
      </c>
    </row>
    <row r="384" customFormat="false" ht="15" hidden="false" customHeight="false" outlineLevel="0" collapsed="false">
      <c r="A384" s="51"/>
      <c r="B384" s="65"/>
      <c r="C384" s="51"/>
      <c r="D384" s="51"/>
      <c r="E384" s="76"/>
      <c r="F384" s="66" t="str">
        <f aca="false">IF(C384="","",IFERROR(1/(1/INDEX(Clients!$H$6:$H$25,MATCH(C384,Clients!$B$6:$B$25,0))),Settings!$C$10))</f>
        <v/>
      </c>
      <c r="G384" s="77" t="str">
        <f aca="false">IF(OR(B384="",F384=""),"",B384+F384)</f>
        <v/>
      </c>
      <c r="H384" s="65"/>
      <c r="I384" s="76"/>
      <c r="J384" s="51"/>
      <c r="K384" s="73" t="str">
        <f aca="false">IF(E384="","",E384-N(I384))</f>
        <v/>
      </c>
      <c r="L384" s="78" t="str">
        <f aca="true">IF(E384="","",IF(K384&lt;=0,"Paid",IF(AND(G384&lt;&gt;"",TODAY()&gt;G384),"Overdue",IF(N(I384)&gt;0,"Partial","Open"))))</f>
        <v/>
      </c>
      <c r="M384" s="66" t="str">
        <f aca="true">IF(OR(E384="",G384=""),"",IF(K384&lt;=0,IF(H384="","",MAX(0,H384-G384)),MAX(0,TODAY()-G384)))</f>
        <v/>
      </c>
      <c r="N384" s="78" t="str">
        <f aca="true">IF(OR(E384="",G384=""),"",IF(K384&lt;=0,"",IF(TODAY()&lt;=G384,"Not due yet",IF(TODAY()-G384&lt;=30,"1-30 days late",IF(TODAY()-G384&lt;=60,"31-60 days late",IF(TODAY()-G384&lt;=90,"61-90 days late","90+ days late"))))))</f>
        <v/>
      </c>
      <c r="O384" s="66" t="str">
        <f aca="false">IF(OR(H384="",B384="",K384&gt;0),"",H384-B384)</f>
        <v/>
      </c>
    </row>
    <row r="385" customFormat="false" ht="15" hidden="false" customHeight="false" outlineLevel="0" collapsed="false">
      <c r="A385" s="51"/>
      <c r="B385" s="65"/>
      <c r="C385" s="51"/>
      <c r="D385" s="51"/>
      <c r="E385" s="76"/>
      <c r="F385" s="66" t="str">
        <f aca="false">IF(C385="","",IFERROR(1/(1/INDEX(Clients!$H$6:$H$25,MATCH(C385,Clients!$B$6:$B$25,0))),Settings!$C$10))</f>
        <v/>
      </c>
      <c r="G385" s="77" t="str">
        <f aca="false">IF(OR(B385="",F385=""),"",B385+F385)</f>
        <v/>
      </c>
      <c r="H385" s="65"/>
      <c r="I385" s="76"/>
      <c r="J385" s="51"/>
      <c r="K385" s="73" t="str">
        <f aca="false">IF(E385="","",E385-N(I385))</f>
        <v/>
      </c>
      <c r="L385" s="78" t="str">
        <f aca="true">IF(E385="","",IF(K385&lt;=0,"Paid",IF(AND(G385&lt;&gt;"",TODAY()&gt;G385),"Overdue",IF(N(I385)&gt;0,"Partial","Open"))))</f>
        <v/>
      </c>
      <c r="M385" s="66" t="str">
        <f aca="true">IF(OR(E385="",G385=""),"",IF(K385&lt;=0,IF(H385="","",MAX(0,H385-G385)),MAX(0,TODAY()-G385)))</f>
        <v/>
      </c>
      <c r="N385" s="78" t="str">
        <f aca="true">IF(OR(E385="",G385=""),"",IF(K385&lt;=0,"",IF(TODAY()&lt;=G385,"Not due yet",IF(TODAY()-G385&lt;=30,"1-30 days late",IF(TODAY()-G385&lt;=60,"31-60 days late",IF(TODAY()-G385&lt;=90,"61-90 days late","90+ days late"))))))</f>
        <v/>
      </c>
      <c r="O385" s="66" t="str">
        <f aca="false">IF(OR(H385="",B385="",K385&gt;0),"",H385-B385)</f>
        <v/>
      </c>
    </row>
    <row r="386" customFormat="false" ht="15" hidden="false" customHeight="false" outlineLevel="0" collapsed="false">
      <c r="A386" s="51"/>
      <c r="B386" s="65"/>
      <c r="C386" s="51"/>
      <c r="D386" s="51"/>
      <c r="E386" s="76"/>
      <c r="F386" s="66" t="str">
        <f aca="false">IF(C386="","",IFERROR(1/(1/INDEX(Clients!$H$6:$H$25,MATCH(C386,Clients!$B$6:$B$25,0))),Settings!$C$10))</f>
        <v/>
      </c>
      <c r="G386" s="77" t="str">
        <f aca="false">IF(OR(B386="",F386=""),"",B386+F386)</f>
        <v/>
      </c>
      <c r="H386" s="65"/>
      <c r="I386" s="76"/>
      <c r="J386" s="51"/>
      <c r="K386" s="73" t="str">
        <f aca="false">IF(E386="","",E386-N(I386))</f>
        <v/>
      </c>
      <c r="L386" s="78" t="str">
        <f aca="true">IF(E386="","",IF(K386&lt;=0,"Paid",IF(AND(G386&lt;&gt;"",TODAY()&gt;G386),"Overdue",IF(N(I386)&gt;0,"Partial","Open"))))</f>
        <v/>
      </c>
      <c r="M386" s="66" t="str">
        <f aca="true">IF(OR(E386="",G386=""),"",IF(K386&lt;=0,IF(H386="","",MAX(0,H386-G386)),MAX(0,TODAY()-G386)))</f>
        <v/>
      </c>
      <c r="N386" s="78" t="str">
        <f aca="true">IF(OR(E386="",G386=""),"",IF(K386&lt;=0,"",IF(TODAY()&lt;=G386,"Not due yet",IF(TODAY()-G386&lt;=30,"1-30 days late",IF(TODAY()-G386&lt;=60,"31-60 days late",IF(TODAY()-G386&lt;=90,"61-90 days late","90+ days late"))))))</f>
        <v/>
      </c>
      <c r="O386" s="66" t="str">
        <f aca="false">IF(OR(H386="",B386="",K386&gt;0),"",H386-B386)</f>
        <v/>
      </c>
    </row>
    <row r="387" customFormat="false" ht="15" hidden="false" customHeight="false" outlineLevel="0" collapsed="false">
      <c r="A387" s="51"/>
      <c r="B387" s="65"/>
      <c r="C387" s="51"/>
      <c r="D387" s="51"/>
      <c r="E387" s="76"/>
      <c r="F387" s="66" t="str">
        <f aca="false">IF(C387="","",IFERROR(1/(1/INDEX(Clients!$H$6:$H$25,MATCH(C387,Clients!$B$6:$B$25,0))),Settings!$C$10))</f>
        <v/>
      </c>
      <c r="G387" s="77" t="str">
        <f aca="false">IF(OR(B387="",F387=""),"",B387+F387)</f>
        <v/>
      </c>
      <c r="H387" s="65"/>
      <c r="I387" s="76"/>
      <c r="J387" s="51"/>
      <c r="K387" s="73" t="str">
        <f aca="false">IF(E387="","",E387-N(I387))</f>
        <v/>
      </c>
      <c r="L387" s="78" t="str">
        <f aca="true">IF(E387="","",IF(K387&lt;=0,"Paid",IF(AND(G387&lt;&gt;"",TODAY()&gt;G387),"Overdue",IF(N(I387)&gt;0,"Partial","Open"))))</f>
        <v/>
      </c>
      <c r="M387" s="66" t="str">
        <f aca="true">IF(OR(E387="",G387=""),"",IF(K387&lt;=0,IF(H387="","",MAX(0,H387-G387)),MAX(0,TODAY()-G387)))</f>
        <v/>
      </c>
      <c r="N387" s="78" t="str">
        <f aca="true">IF(OR(E387="",G387=""),"",IF(K387&lt;=0,"",IF(TODAY()&lt;=G387,"Not due yet",IF(TODAY()-G387&lt;=30,"1-30 days late",IF(TODAY()-G387&lt;=60,"31-60 days late",IF(TODAY()-G387&lt;=90,"61-90 days late","90+ days late"))))))</f>
        <v/>
      </c>
      <c r="O387" s="66" t="str">
        <f aca="false">IF(OR(H387="",B387="",K387&gt;0),"",H387-B387)</f>
        <v/>
      </c>
    </row>
    <row r="388" customFormat="false" ht="15" hidden="false" customHeight="false" outlineLevel="0" collapsed="false">
      <c r="A388" s="51"/>
      <c r="B388" s="65"/>
      <c r="C388" s="51"/>
      <c r="D388" s="51"/>
      <c r="E388" s="76"/>
      <c r="F388" s="66" t="str">
        <f aca="false">IF(C388="","",IFERROR(1/(1/INDEX(Clients!$H$6:$H$25,MATCH(C388,Clients!$B$6:$B$25,0))),Settings!$C$10))</f>
        <v/>
      </c>
      <c r="G388" s="77" t="str">
        <f aca="false">IF(OR(B388="",F388=""),"",B388+F388)</f>
        <v/>
      </c>
      <c r="H388" s="65"/>
      <c r="I388" s="76"/>
      <c r="J388" s="51"/>
      <c r="K388" s="73" t="str">
        <f aca="false">IF(E388="","",E388-N(I388))</f>
        <v/>
      </c>
      <c r="L388" s="78" t="str">
        <f aca="true">IF(E388="","",IF(K388&lt;=0,"Paid",IF(AND(G388&lt;&gt;"",TODAY()&gt;G388),"Overdue",IF(N(I388)&gt;0,"Partial","Open"))))</f>
        <v/>
      </c>
      <c r="M388" s="66" t="str">
        <f aca="true">IF(OR(E388="",G388=""),"",IF(K388&lt;=0,IF(H388="","",MAX(0,H388-G388)),MAX(0,TODAY()-G388)))</f>
        <v/>
      </c>
      <c r="N388" s="78" t="str">
        <f aca="true">IF(OR(E388="",G388=""),"",IF(K388&lt;=0,"",IF(TODAY()&lt;=G388,"Not due yet",IF(TODAY()-G388&lt;=30,"1-30 days late",IF(TODAY()-G388&lt;=60,"31-60 days late",IF(TODAY()-G388&lt;=90,"61-90 days late","90+ days late"))))))</f>
        <v/>
      </c>
      <c r="O388" s="66" t="str">
        <f aca="false">IF(OR(H388="",B388="",K388&gt;0),"",H388-B388)</f>
        <v/>
      </c>
    </row>
    <row r="389" customFormat="false" ht="15" hidden="false" customHeight="false" outlineLevel="0" collapsed="false">
      <c r="A389" s="51"/>
      <c r="B389" s="65"/>
      <c r="C389" s="51"/>
      <c r="D389" s="51"/>
      <c r="E389" s="76"/>
      <c r="F389" s="66" t="str">
        <f aca="false">IF(C389="","",IFERROR(1/(1/INDEX(Clients!$H$6:$H$25,MATCH(C389,Clients!$B$6:$B$25,0))),Settings!$C$10))</f>
        <v/>
      </c>
      <c r="G389" s="77" t="str">
        <f aca="false">IF(OR(B389="",F389=""),"",B389+F389)</f>
        <v/>
      </c>
      <c r="H389" s="65"/>
      <c r="I389" s="76"/>
      <c r="J389" s="51"/>
      <c r="K389" s="73" t="str">
        <f aca="false">IF(E389="","",E389-N(I389))</f>
        <v/>
      </c>
      <c r="L389" s="78" t="str">
        <f aca="true">IF(E389="","",IF(K389&lt;=0,"Paid",IF(AND(G389&lt;&gt;"",TODAY()&gt;G389),"Overdue",IF(N(I389)&gt;0,"Partial","Open"))))</f>
        <v/>
      </c>
      <c r="M389" s="66" t="str">
        <f aca="true">IF(OR(E389="",G389=""),"",IF(K389&lt;=0,IF(H389="","",MAX(0,H389-G389)),MAX(0,TODAY()-G389)))</f>
        <v/>
      </c>
      <c r="N389" s="78" t="str">
        <f aca="true">IF(OR(E389="",G389=""),"",IF(K389&lt;=0,"",IF(TODAY()&lt;=G389,"Not due yet",IF(TODAY()-G389&lt;=30,"1-30 days late",IF(TODAY()-G389&lt;=60,"31-60 days late",IF(TODAY()-G389&lt;=90,"61-90 days late","90+ days late"))))))</f>
        <v/>
      </c>
      <c r="O389" s="66" t="str">
        <f aca="false">IF(OR(H389="",B389="",K389&gt;0),"",H389-B389)</f>
        <v/>
      </c>
    </row>
    <row r="390" customFormat="false" ht="15" hidden="false" customHeight="false" outlineLevel="0" collapsed="false">
      <c r="A390" s="51"/>
      <c r="B390" s="65"/>
      <c r="C390" s="51"/>
      <c r="D390" s="51"/>
      <c r="E390" s="76"/>
      <c r="F390" s="66" t="str">
        <f aca="false">IF(C390="","",IFERROR(1/(1/INDEX(Clients!$H$6:$H$25,MATCH(C390,Clients!$B$6:$B$25,0))),Settings!$C$10))</f>
        <v/>
      </c>
      <c r="G390" s="77" t="str">
        <f aca="false">IF(OR(B390="",F390=""),"",B390+F390)</f>
        <v/>
      </c>
      <c r="H390" s="65"/>
      <c r="I390" s="76"/>
      <c r="J390" s="51"/>
      <c r="K390" s="73" t="str">
        <f aca="false">IF(E390="","",E390-N(I390))</f>
        <v/>
      </c>
      <c r="L390" s="78" t="str">
        <f aca="true">IF(E390="","",IF(K390&lt;=0,"Paid",IF(AND(G390&lt;&gt;"",TODAY()&gt;G390),"Overdue",IF(N(I390)&gt;0,"Partial","Open"))))</f>
        <v/>
      </c>
      <c r="M390" s="66" t="str">
        <f aca="true">IF(OR(E390="",G390=""),"",IF(K390&lt;=0,IF(H390="","",MAX(0,H390-G390)),MAX(0,TODAY()-G390)))</f>
        <v/>
      </c>
      <c r="N390" s="78" t="str">
        <f aca="true">IF(OR(E390="",G390=""),"",IF(K390&lt;=0,"",IF(TODAY()&lt;=G390,"Not due yet",IF(TODAY()-G390&lt;=30,"1-30 days late",IF(TODAY()-G390&lt;=60,"31-60 days late",IF(TODAY()-G390&lt;=90,"61-90 days late","90+ days late"))))))</f>
        <v/>
      </c>
      <c r="O390" s="66" t="str">
        <f aca="false">IF(OR(H390="",B390="",K390&gt;0),"",H390-B390)</f>
        <v/>
      </c>
    </row>
    <row r="391" customFormat="false" ht="15" hidden="false" customHeight="false" outlineLevel="0" collapsed="false">
      <c r="A391" s="51"/>
      <c r="B391" s="65"/>
      <c r="C391" s="51"/>
      <c r="D391" s="51"/>
      <c r="E391" s="76"/>
      <c r="F391" s="66" t="str">
        <f aca="false">IF(C391="","",IFERROR(1/(1/INDEX(Clients!$H$6:$H$25,MATCH(C391,Clients!$B$6:$B$25,0))),Settings!$C$10))</f>
        <v/>
      </c>
      <c r="G391" s="77" t="str">
        <f aca="false">IF(OR(B391="",F391=""),"",B391+F391)</f>
        <v/>
      </c>
      <c r="H391" s="65"/>
      <c r="I391" s="76"/>
      <c r="J391" s="51"/>
      <c r="K391" s="73" t="str">
        <f aca="false">IF(E391="","",E391-N(I391))</f>
        <v/>
      </c>
      <c r="L391" s="78" t="str">
        <f aca="true">IF(E391="","",IF(K391&lt;=0,"Paid",IF(AND(G391&lt;&gt;"",TODAY()&gt;G391),"Overdue",IF(N(I391)&gt;0,"Partial","Open"))))</f>
        <v/>
      </c>
      <c r="M391" s="66" t="str">
        <f aca="true">IF(OR(E391="",G391=""),"",IF(K391&lt;=0,IF(H391="","",MAX(0,H391-G391)),MAX(0,TODAY()-G391)))</f>
        <v/>
      </c>
      <c r="N391" s="78" t="str">
        <f aca="true">IF(OR(E391="",G391=""),"",IF(K391&lt;=0,"",IF(TODAY()&lt;=G391,"Not due yet",IF(TODAY()-G391&lt;=30,"1-30 days late",IF(TODAY()-G391&lt;=60,"31-60 days late",IF(TODAY()-G391&lt;=90,"61-90 days late","90+ days late"))))))</f>
        <v/>
      </c>
      <c r="O391" s="66" t="str">
        <f aca="false">IF(OR(H391="",B391="",K391&gt;0),"",H391-B391)</f>
        <v/>
      </c>
    </row>
    <row r="392" customFormat="false" ht="15" hidden="false" customHeight="false" outlineLevel="0" collapsed="false">
      <c r="A392" s="51"/>
      <c r="B392" s="65"/>
      <c r="C392" s="51"/>
      <c r="D392" s="51"/>
      <c r="E392" s="76"/>
      <c r="F392" s="66" t="str">
        <f aca="false">IF(C392="","",IFERROR(1/(1/INDEX(Clients!$H$6:$H$25,MATCH(C392,Clients!$B$6:$B$25,0))),Settings!$C$10))</f>
        <v/>
      </c>
      <c r="G392" s="77" t="str">
        <f aca="false">IF(OR(B392="",F392=""),"",B392+F392)</f>
        <v/>
      </c>
      <c r="H392" s="65"/>
      <c r="I392" s="76"/>
      <c r="J392" s="51"/>
      <c r="K392" s="73" t="str">
        <f aca="false">IF(E392="","",E392-N(I392))</f>
        <v/>
      </c>
      <c r="L392" s="78" t="str">
        <f aca="true">IF(E392="","",IF(K392&lt;=0,"Paid",IF(AND(G392&lt;&gt;"",TODAY()&gt;G392),"Overdue",IF(N(I392)&gt;0,"Partial","Open"))))</f>
        <v/>
      </c>
      <c r="M392" s="66" t="str">
        <f aca="true">IF(OR(E392="",G392=""),"",IF(K392&lt;=0,IF(H392="","",MAX(0,H392-G392)),MAX(0,TODAY()-G392)))</f>
        <v/>
      </c>
      <c r="N392" s="78" t="str">
        <f aca="true">IF(OR(E392="",G392=""),"",IF(K392&lt;=0,"",IF(TODAY()&lt;=G392,"Not due yet",IF(TODAY()-G392&lt;=30,"1-30 days late",IF(TODAY()-G392&lt;=60,"31-60 days late",IF(TODAY()-G392&lt;=90,"61-90 days late","90+ days late"))))))</f>
        <v/>
      </c>
      <c r="O392" s="66" t="str">
        <f aca="false">IF(OR(H392="",B392="",K392&gt;0),"",H392-B392)</f>
        <v/>
      </c>
    </row>
    <row r="393" customFormat="false" ht="15" hidden="false" customHeight="false" outlineLevel="0" collapsed="false">
      <c r="A393" s="51"/>
      <c r="B393" s="65"/>
      <c r="C393" s="51"/>
      <c r="D393" s="51"/>
      <c r="E393" s="76"/>
      <c r="F393" s="66" t="str">
        <f aca="false">IF(C393="","",IFERROR(1/(1/INDEX(Clients!$H$6:$H$25,MATCH(C393,Clients!$B$6:$B$25,0))),Settings!$C$10))</f>
        <v/>
      </c>
      <c r="G393" s="77" t="str">
        <f aca="false">IF(OR(B393="",F393=""),"",B393+F393)</f>
        <v/>
      </c>
      <c r="H393" s="65"/>
      <c r="I393" s="76"/>
      <c r="J393" s="51"/>
      <c r="K393" s="73" t="str">
        <f aca="false">IF(E393="","",E393-N(I393))</f>
        <v/>
      </c>
      <c r="L393" s="78" t="str">
        <f aca="true">IF(E393="","",IF(K393&lt;=0,"Paid",IF(AND(G393&lt;&gt;"",TODAY()&gt;G393),"Overdue",IF(N(I393)&gt;0,"Partial","Open"))))</f>
        <v/>
      </c>
      <c r="M393" s="66" t="str">
        <f aca="true">IF(OR(E393="",G393=""),"",IF(K393&lt;=0,IF(H393="","",MAX(0,H393-G393)),MAX(0,TODAY()-G393)))</f>
        <v/>
      </c>
      <c r="N393" s="78" t="str">
        <f aca="true">IF(OR(E393="",G393=""),"",IF(K393&lt;=0,"",IF(TODAY()&lt;=G393,"Not due yet",IF(TODAY()-G393&lt;=30,"1-30 days late",IF(TODAY()-G393&lt;=60,"31-60 days late",IF(TODAY()-G393&lt;=90,"61-90 days late","90+ days late"))))))</f>
        <v/>
      </c>
      <c r="O393" s="66" t="str">
        <f aca="false">IF(OR(H393="",B393="",K393&gt;0),"",H393-B393)</f>
        <v/>
      </c>
    </row>
    <row r="394" customFormat="false" ht="15" hidden="false" customHeight="false" outlineLevel="0" collapsed="false">
      <c r="A394" s="51"/>
      <c r="B394" s="65"/>
      <c r="C394" s="51"/>
      <c r="D394" s="51"/>
      <c r="E394" s="76"/>
      <c r="F394" s="66" t="str">
        <f aca="false">IF(C394="","",IFERROR(1/(1/INDEX(Clients!$H$6:$H$25,MATCH(C394,Clients!$B$6:$B$25,0))),Settings!$C$10))</f>
        <v/>
      </c>
      <c r="G394" s="77" t="str">
        <f aca="false">IF(OR(B394="",F394=""),"",B394+F394)</f>
        <v/>
      </c>
      <c r="H394" s="65"/>
      <c r="I394" s="76"/>
      <c r="J394" s="51"/>
      <c r="K394" s="73" t="str">
        <f aca="false">IF(E394="","",E394-N(I394))</f>
        <v/>
      </c>
      <c r="L394" s="78" t="str">
        <f aca="true">IF(E394="","",IF(K394&lt;=0,"Paid",IF(AND(G394&lt;&gt;"",TODAY()&gt;G394),"Overdue",IF(N(I394)&gt;0,"Partial","Open"))))</f>
        <v/>
      </c>
      <c r="M394" s="66" t="str">
        <f aca="true">IF(OR(E394="",G394=""),"",IF(K394&lt;=0,IF(H394="","",MAX(0,H394-G394)),MAX(0,TODAY()-G394)))</f>
        <v/>
      </c>
      <c r="N394" s="78" t="str">
        <f aca="true">IF(OR(E394="",G394=""),"",IF(K394&lt;=0,"",IF(TODAY()&lt;=G394,"Not due yet",IF(TODAY()-G394&lt;=30,"1-30 days late",IF(TODAY()-G394&lt;=60,"31-60 days late",IF(TODAY()-G394&lt;=90,"61-90 days late","90+ days late"))))))</f>
        <v/>
      </c>
      <c r="O394" s="66" t="str">
        <f aca="false">IF(OR(H394="",B394="",K394&gt;0),"",H394-B394)</f>
        <v/>
      </c>
    </row>
    <row r="395" customFormat="false" ht="15" hidden="false" customHeight="false" outlineLevel="0" collapsed="false">
      <c r="A395" s="51"/>
      <c r="B395" s="65"/>
      <c r="C395" s="51"/>
      <c r="D395" s="51"/>
      <c r="E395" s="76"/>
      <c r="F395" s="66" t="str">
        <f aca="false">IF(C395="","",IFERROR(1/(1/INDEX(Clients!$H$6:$H$25,MATCH(C395,Clients!$B$6:$B$25,0))),Settings!$C$10))</f>
        <v/>
      </c>
      <c r="G395" s="77" t="str">
        <f aca="false">IF(OR(B395="",F395=""),"",B395+F395)</f>
        <v/>
      </c>
      <c r="H395" s="65"/>
      <c r="I395" s="76"/>
      <c r="J395" s="51"/>
      <c r="K395" s="73" t="str">
        <f aca="false">IF(E395="","",E395-N(I395))</f>
        <v/>
      </c>
      <c r="L395" s="78" t="str">
        <f aca="true">IF(E395="","",IF(K395&lt;=0,"Paid",IF(AND(G395&lt;&gt;"",TODAY()&gt;G395),"Overdue",IF(N(I395)&gt;0,"Partial","Open"))))</f>
        <v/>
      </c>
      <c r="M395" s="66" t="str">
        <f aca="true">IF(OR(E395="",G395=""),"",IF(K395&lt;=0,IF(H395="","",MAX(0,H395-G395)),MAX(0,TODAY()-G395)))</f>
        <v/>
      </c>
      <c r="N395" s="78" t="str">
        <f aca="true">IF(OR(E395="",G395=""),"",IF(K395&lt;=0,"",IF(TODAY()&lt;=G395,"Not due yet",IF(TODAY()-G395&lt;=30,"1-30 days late",IF(TODAY()-G395&lt;=60,"31-60 days late",IF(TODAY()-G395&lt;=90,"61-90 days late","90+ days late"))))))</f>
        <v/>
      </c>
      <c r="O395" s="66" t="str">
        <f aca="false">IF(OR(H395="",B395="",K395&gt;0),"",H395-B395)</f>
        <v/>
      </c>
    </row>
    <row r="396" customFormat="false" ht="15" hidden="false" customHeight="false" outlineLevel="0" collapsed="false">
      <c r="A396" s="51"/>
      <c r="B396" s="65"/>
      <c r="C396" s="51"/>
      <c r="D396" s="51"/>
      <c r="E396" s="76"/>
      <c r="F396" s="66" t="str">
        <f aca="false">IF(C396="","",IFERROR(1/(1/INDEX(Clients!$H$6:$H$25,MATCH(C396,Clients!$B$6:$B$25,0))),Settings!$C$10))</f>
        <v/>
      </c>
      <c r="G396" s="77" t="str">
        <f aca="false">IF(OR(B396="",F396=""),"",B396+F396)</f>
        <v/>
      </c>
      <c r="H396" s="65"/>
      <c r="I396" s="76"/>
      <c r="J396" s="51"/>
      <c r="K396" s="73" t="str">
        <f aca="false">IF(E396="","",E396-N(I396))</f>
        <v/>
      </c>
      <c r="L396" s="78" t="str">
        <f aca="true">IF(E396="","",IF(K396&lt;=0,"Paid",IF(AND(G396&lt;&gt;"",TODAY()&gt;G396),"Overdue",IF(N(I396)&gt;0,"Partial","Open"))))</f>
        <v/>
      </c>
      <c r="M396" s="66" t="str">
        <f aca="true">IF(OR(E396="",G396=""),"",IF(K396&lt;=0,IF(H396="","",MAX(0,H396-G396)),MAX(0,TODAY()-G396)))</f>
        <v/>
      </c>
      <c r="N396" s="78" t="str">
        <f aca="true">IF(OR(E396="",G396=""),"",IF(K396&lt;=0,"",IF(TODAY()&lt;=G396,"Not due yet",IF(TODAY()-G396&lt;=30,"1-30 days late",IF(TODAY()-G396&lt;=60,"31-60 days late",IF(TODAY()-G396&lt;=90,"61-90 days late","90+ days late"))))))</f>
        <v/>
      </c>
      <c r="O396" s="66" t="str">
        <f aca="false">IF(OR(H396="",B396="",K396&gt;0),"",H396-B396)</f>
        <v/>
      </c>
    </row>
    <row r="397" customFormat="false" ht="15" hidden="false" customHeight="false" outlineLevel="0" collapsed="false">
      <c r="A397" s="51"/>
      <c r="B397" s="65"/>
      <c r="C397" s="51"/>
      <c r="D397" s="51"/>
      <c r="E397" s="76"/>
      <c r="F397" s="66" t="str">
        <f aca="false">IF(C397="","",IFERROR(1/(1/INDEX(Clients!$H$6:$H$25,MATCH(C397,Clients!$B$6:$B$25,0))),Settings!$C$10))</f>
        <v/>
      </c>
      <c r="G397" s="77" t="str">
        <f aca="false">IF(OR(B397="",F397=""),"",B397+F397)</f>
        <v/>
      </c>
      <c r="H397" s="65"/>
      <c r="I397" s="76"/>
      <c r="J397" s="51"/>
      <c r="K397" s="73" t="str">
        <f aca="false">IF(E397="","",E397-N(I397))</f>
        <v/>
      </c>
      <c r="L397" s="78" t="str">
        <f aca="true">IF(E397="","",IF(K397&lt;=0,"Paid",IF(AND(G397&lt;&gt;"",TODAY()&gt;G397),"Overdue",IF(N(I397)&gt;0,"Partial","Open"))))</f>
        <v/>
      </c>
      <c r="M397" s="66" t="str">
        <f aca="true">IF(OR(E397="",G397=""),"",IF(K397&lt;=0,IF(H397="","",MAX(0,H397-G397)),MAX(0,TODAY()-G397)))</f>
        <v/>
      </c>
      <c r="N397" s="78" t="str">
        <f aca="true">IF(OR(E397="",G397=""),"",IF(K397&lt;=0,"",IF(TODAY()&lt;=G397,"Not due yet",IF(TODAY()-G397&lt;=30,"1-30 days late",IF(TODAY()-G397&lt;=60,"31-60 days late",IF(TODAY()-G397&lt;=90,"61-90 days late","90+ days late"))))))</f>
        <v/>
      </c>
      <c r="O397" s="66" t="str">
        <f aca="false">IF(OR(H397="",B397="",K397&gt;0),"",H397-B397)</f>
        <v/>
      </c>
    </row>
    <row r="398" customFormat="false" ht="15" hidden="false" customHeight="false" outlineLevel="0" collapsed="false">
      <c r="A398" s="51"/>
      <c r="B398" s="65"/>
      <c r="C398" s="51"/>
      <c r="D398" s="51"/>
      <c r="E398" s="76"/>
      <c r="F398" s="66" t="str">
        <f aca="false">IF(C398="","",IFERROR(1/(1/INDEX(Clients!$H$6:$H$25,MATCH(C398,Clients!$B$6:$B$25,0))),Settings!$C$10))</f>
        <v/>
      </c>
      <c r="G398" s="77" t="str">
        <f aca="false">IF(OR(B398="",F398=""),"",B398+F398)</f>
        <v/>
      </c>
      <c r="H398" s="65"/>
      <c r="I398" s="76"/>
      <c r="J398" s="51"/>
      <c r="K398" s="73" t="str">
        <f aca="false">IF(E398="","",E398-N(I398))</f>
        <v/>
      </c>
      <c r="L398" s="78" t="str">
        <f aca="true">IF(E398="","",IF(K398&lt;=0,"Paid",IF(AND(G398&lt;&gt;"",TODAY()&gt;G398),"Overdue",IF(N(I398)&gt;0,"Partial","Open"))))</f>
        <v/>
      </c>
      <c r="M398" s="66" t="str">
        <f aca="true">IF(OR(E398="",G398=""),"",IF(K398&lt;=0,IF(H398="","",MAX(0,H398-G398)),MAX(0,TODAY()-G398)))</f>
        <v/>
      </c>
      <c r="N398" s="78" t="str">
        <f aca="true">IF(OR(E398="",G398=""),"",IF(K398&lt;=0,"",IF(TODAY()&lt;=G398,"Not due yet",IF(TODAY()-G398&lt;=30,"1-30 days late",IF(TODAY()-G398&lt;=60,"31-60 days late",IF(TODAY()-G398&lt;=90,"61-90 days late","90+ days late"))))))</f>
        <v/>
      </c>
      <c r="O398" s="66" t="str">
        <f aca="false">IF(OR(H398="",B398="",K398&gt;0),"",H398-B398)</f>
        <v/>
      </c>
    </row>
    <row r="399" customFormat="false" ht="15" hidden="false" customHeight="false" outlineLevel="0" collapsed="false">
      <c r="A399" s="51"/>
      <c r="B399" s="65"/>
      <c r="C399" s="51"/>
      <c r="D399" s="51"/>
      <c r="E399" s="76"/>
      <c r="F399" s="66" t="str">
        <f aca="false">IF(C399="","",IFERROR(1/(1/INDEX(Clients!$H$6:$H$25,MATCH(C399,Clients!$B$6:$B$25,0))),Settings!$C$10))</f>
        <v/>
      </c>
      <c r="G399" s="77" t="str">
        <f aca="false">IF(OR(B399="",F399=""),"",B399+F399)</f>
        <v/>
      </c>
      <c r="H399" s="65"/>
      <c r="I399" s="76"/>
      <c r="J399" s="51"/>
      <c r="K399" s="73" t="str">
        <f aca="false">IF(E399="","",E399-N(I399))</f>
        <v/>
      </c>
      <c r="L399" s="78" t="str">
        <f aca="true">IF(E399="","",IF(K399&lt;=0,"Paid",IF(AND(G399&lt;&gt;"",TODAY()&gt;G399),"Overdue",IF(N(I399)&gt;0,"Partial","Open"))))</f>
        <v/>
      </c>
      <c r="M399" s="66" t="str">
        <f aca="true">IF(OR(E399="",G399=""),"",IF(K399&lt;=0,IF(H399="","",MAX(0,H399-G399)),MAX(0,TODAY()-G399)))</f>
        <v/>
      </c>
      <c r="N399" s="78" t="str">
        <f aca="true">IF(OR(E399="",G399=""),"",IF(K399&lt;=0,"",IF(TODAY()&lt;=G399,"Not due yet",IF(TODAY()-G399&lt;=30,"1-30 days late",IF(TODAY()-G399&lt;=60,"31-60 days late",IF(TODAY()-G399&lt;=90,"61-90 days late","90+ days late"))))))</f>
        <v/>
      </c>
      <c r="O399" s="66" t="str">
        <f aca="false">IF(OR(H399="",B399="",K399&gt;0),"",H399-B399)</f>
        <v/>
      </c>
    </row>
    <row r="400" customFormat="false" ht="15" hidden="false" customHeight="false" outlineLevel="0" collapsed="false">
      <c r="A400" s="51"/>
      <c r="B400" s="65"/>
      <c r="C400" s="51"/>
      <c r="D400" s="51"/>
      <c r="E400" s="76"/>
      <c r="F400" s="66" t="str">
        <f aca="false">IF(C400="","",IFERROR(1/(1/INDEX(Clients!$H$6:$H$25,MATCH(C400,Clients!$B$6:$B$25,0))),Settings!$C$10))</f>
        <v/>
      </c>
      <c r="G400" s="77" t="str">
        <f aca="false">IF(OR(B400="",F400=""),"",B400+F400)</f>
        <v/>
      </c>
      <c r="H400" s="65"/>
      <c r="I400" s="76"/>
      <c r="J400" s="51"/>
      <c r="K400" s="73" t="str">
        <f aca="false">IF(E400="","",E400-N(I400))</f>
        <v/>
      </c>
      <c r="L400" s="78" t="str">
        <f aca="true">IF(E400="","",IF(K400&lt;=0,"Paid",IF(AND(G400&lt;&gt;"",TODAY()&gt;G400),"Overdue",IF(N(I400)&gt;0,"Partial","Open"))))</f>
        <v/>
      </c>
      <c r="M400" s="66" t="str">
        <f aca="true">IF(OR(E400="",G400=""),"",IF(K400&lt;=0,IF(H400="","",MAX(0,H400-G400)),MAX(0,TODAY()-G400)))</f>
        <v/>
      </c>
      <c r="N400" s="78" t="str">
        <f aca="true">IF(OR(E400="",G400=""),"",IF(K400&lt;=0,"",IF(TODAY()&lt;=G400,"Not due yet",IF(TODAY()-G400&lt;=30,"1-30 days late",IF(TODAY()-G400&lt;=60,"31-60 days late",IF(TODAY()-G400&lt;=90,"61-90 days late","90+ days late"))))))</f>
        <v/>
      </c>
      <c r="O400" s="66" t="str">
        <f aca="false">IF(OR(H400="",B400="",K400&gt;0),"",H400-B400)</f>
        <v/>
      </c>
    </row>
    <row r="401" customFormat="false" ht="15" hidden="false" customHeight="false" outlineLevel="0" collapsed="false">
      <c r="A401" s="51"/>
      <c r="B401" s="65"/>
      <c r="C401" s="51"/>
      <c r="D401" s="51"/>
      <c r="E401" s="76"/>
      <c r="F401" s="66" t="str">
        <f aca="false">IF(C401="","",IFERROR(1/(1/INDEX(Clients!$H$6:$H$25,MATCH(C401,Clients!$B$6:$B$25,0))),Settings!$C$10))</f>
        <v/>
      </c>
      <c r="G401" s="77" t="str">
        <f aca="false">IF(OR(B401="",F401=""),"",B401+F401)</f>
        <v/>
      </c>
      <c r="H401" s="65"/>
      <c r="I401" s="76"/>
      <c r="J401" s="51"/>
      <c r="K401" s="73" t="str">
        <f aca="false">IF(E401="","",E401-N(I401))</f>
        <v/>
      </c>
      <c r="L401" s="78" t="str">
        <f aca="true">IF(E401="","",IF(K401&lt;=0,"Paid",IF(AND(G401&lt;&gt;"",TODAY()&gt;G401),"Overdue",IF(N(I401)&gt;0,"Partial","Open"))))</f>
        <v/>
      </c>
      <c r="M401" s="66" t="str">
        <f aca="true">IF(OR(E401="",G401=""),"",IF(K401&lt;=0,IF(H401="","",MAX(0,H401-G401)),MAX(0,TODAY()-G401)))</f>
        <v/>
      </c>
      <c r="N401" s="78" t="str">
        <f aca="true">IF(OR(E401="",G401=""),"",IF(K401&lt;=0,"",IF(TODAY()&lt;=G401,"Not due yet",IF(TODAY()-G401&lt;=30,"1-30 days late",IF(TODAY()-G401&lt;=60,"31-60 days late",IF(TODAY()-G401&lt;=90,"61-90 days late","90+ days late"))))))</f>
        <v/>
      </c>
      <c r="O401" s="66" t="str">
        <f aca="false">IF(OR(H401="",B401="",K401&gt;0),"",H401-B401)</f>
        <v/>
      </c>
    </row>
    <row r="402" customFormat="false" ht="15" hidden="false" customHeight="false" outlineLevel="0" collapsed="false">
      <c r="A402" s="51"/>
      <c r="B402" s="65"/>
      <c r="C402" s="51"/>
      <c r="D402" s="51"/>
      <c r="E402" s="76"/>
      <c r="F402" s="66" t="str">
        <f aca="false">IF(C402="","",IFERROR(1/(1/INDEX(Clients!$H$6:$H$25,MATCH(C402,Clients!$B$6:$B$25,0))),Settings!$C$10))</f>
        <v/>
      </c>
      <c r="G402" s="77" t="str">
        <f aca="false">IF(OR(B402="",F402=""),"",B402+F402)</f>
        <v/>
      </c>
      <c r="H402" s="65"/>
      <c r="I402" s="76"/>
      <c r="J402" s="51"/>
      <c r="K402" s="73" t="str">
        <f aca="false">IF(E402="","",E402-N(I402))</f>
        <v/>
      </c>
      <c r="L402" s="78" t="str">
        <f aca="true">IF(E402="","",IF(K402&lt;=0,"Paid",IF(AND(G402&lt;&gt;"",TODAY()&gt;G402),"Overdue",IF(N(I402)&gt;0,"Partial","Open"))))</f>
        <v/>
      </c>
      <c r="M402" s="66" t="str">
        <f aca="true">IF(OR(E402="",G402=""),"",IF(K402&lt;=0,IF(H402="","",MAX(0,H402-G402)),MAX(0,TODAY()-G402)))</f>
        <v/>
      </c>
      <c r="N402" s="78" t="str">
        <f aca="true">IF(OR(E402="",G402=""),"",IF(K402&lt;=0,"",IF(TODAY()&lt;=G402,"Not due yet",IF(TODAY()-G402&lt;=30,"1-30 days late",IF(TODAY()-G402&lt;=60,"31-60 days late",IF(TODAY()-G402&lt;=90,"61-90 days late","90+ days late"))))))</f>
        <v/>
      </c>
      <c r="O402" s="66" t="str">
        <f aca="false">IF(OR(H402="",B402="",K402&gt;0),"",H402-B402)</f>
        <v/>
      </c>
    </row>
    <row r="403" customFormat="false" ht="15" hidden="false" customHeight="false" outlineLevel="0" collapsed="false">
      <c r="A403" s="51"/>
      <c r="B403" s="65"/>
      <c r="C403" s="51"/>
      <c r="D403" s="51"/>
      <c r="E403" s="76"/>
      <c r="F403" s="66" t="str">
        <f aca="false">IF(C403="","",IFERROR(1/(1/INDEX(Clients!$H$6:$H$25,MATCH(C403,Clients!$B$6:$B$25,0))),Settings!$C$10))</f>
        <v/>
      </c>
      <c r="G403" s="77" t="str">
        <f aca="false">IF(OR(B403="",F403=""),"",B403+F403)</f>
        <v/>
      </c>
      <c r="H403" s="65"/>
      <c r="I403" s="76"/>
      <c r="J403" s="51"/>
      <c r="K403" s="73" t="str">
        <f aca="false">IF(E403="","",E403-N(I403))</f>
        <v/>
      </c>
      <c r="L403" s="78" t="str">
        <f aca="true">IF(E403="","",IF(K403&lt;=0,"Paid",IF(AND(G403&lt;&gt;"",TODAY()&gt;G403),"Overdue",IF(N(I403)&gt;0,"Partial","Open"))))</f>
        <v/>
      </c>
      <c r="M403" s="66" t="str">
        <f aca="true">IF(OR(E403="",G403=""),"",IF(K403&lt;=0,IF(H403="","",MAX(0,H403-G403)),MAX(0,TODAY()-G403)))</f>
        <v/>
      </c>
      <c r="N403" s="78" t="str">
        <f aca="true">IF(OR(E403="",G403=""),"",IF(K403&lt;=0,"",IF(TODAY()&lt;=G403,"Not due yet",IF(TODAY()-G403&lt;=30,"1-30 days late",IF(TODAY()-G403&lt;=60,"31-60 days late",IF(TODAY()-G403&lt;=90,"61-90 days late","90+ days late"))))))</f>
        <v/>
      </c>
      <c r="O403" s="66" t="str">
        <f aca="false">IF(OR(H403="",B403="",K403&gt;0),"",H403-B403)</f>
        <v/>
      </c>
    </row>
    <row r="404" customFormat="false" ht="15" hidden="false" customHeight="false" outlineLevel="0" collapsed="false">
      <c r="A404" s="51"/>
      <c r="B404" s="65"/>
      <c r="C404" s="51"/>
      <c r="D404" s="51"/>
      <c r="E404" s="76"/>
      <c r="F404" s="66" t="str">
        <f aca="false">IF(C404="","",IFERROR(1/(1/INDEX(Clients!$H$6:$H$25,MATCH(C404,Clients!$B$6:$B$25,0))),Settings!$C$10))</f>
        <v/>
      </c>
      <c r="G404" s="77" t="str">
        <f aca="false">IF(OR(B404="",F404=""),"",B404+F404)</f>
        <v/>
      </c>
      <c r="H404" s="65"/>
      <c r="I404" s="76"/>
      <c r="J404" s="51"/>
      <c r="K404" s="73" t="str">
        <f aca="false">IF(E404="","",E404-N(I404))</f>
        <v/>
      </c>
      <c r="L404" s="78" t="str">
        <f aca="true">IF(E404="","",IF(K404&lt;=0,"Paid",IF(AND(G404&lt;&gt;"",TODAY()&gt;G404),"Overdue",IF(N(I404)&gt;0,"Partial","Open"))))</f>
        <v/>
      </c>
      <c r="M404" s="66" t="str">
        <f aca="true">IF(OR(E404="",G404=""),"",IF(K404&lt;=0,IF(H404="","",MAX(0,H404-G404)),MAX(0,TODAY()-G404)))</f>
        <v/>
      </c>
      <c r="N404" s="78" t="str">
        <f aca="true">IF(OR(E404="",G404=""),"",IF(K404&lt;=0,"",IF(TODAY()&lt;=G404,"Not due yet",IF(TODAY()-G404&lt;=30,"1-30 days late",IF(TODAY()-G404&lt;=60,"31-60 days late",IF(TODAY()-G404&lt;=90,"61-90 days late","90+ days late"))))))</f>
        <v/>
      </c>
      <c r="O404" s="66" t="str">
        <f aca="false">IF(OR(H404="",B404="",K404&gt;0),"",H404-B404)</f>
        <v/>
      </c>
    </row>
    <row r="405" customFormat="false" ht="15" hidden="false" customHeight="false" outlineLevel="0" collapsed="false">
      <c r="A405" s="51"/>
      <c r="B405" s="65"/>
      <c r="C405" s="51"/>
      <c r="D405" s="51"/>
      <c r="E405" s="76"/>
      <c r="F405" s="66" t="str">
        <f aca="false">IF(C405="","",IFERROR(1/(1/INDEX(Clients!$H$6:$H$25,MATCH(C405,Clients!$B$6:$B$25,0))),Settings!$C$10))</f>
        <v/>
      </c>
      <c r="G405" s="77" t="str">
        <f aca="false">IF(OR(B405="",F405=""),"",B405+F405)</f>
        <v/>
      </c>
      <c r="H405" s="65"/>
      <c r="I405" s="76"/>
      <c r="J405" s="51"/>
      <c r="K405" s="73" t="str">
        <f aca="false">IF(E405="","",E405-N(I405))</f>
        <v/>
      </c>
      <c r="L405" s="78" t="str">
        <f aca="true">IF(E405="","",IF(K405&lt;=0,"Paid",IF(AND(G405&lt;&gt;"",TODAY()&gt;G405),"Overdue",IF(N(I405)&gt;0,"Partial","Open"))))</f>
        <v/>
      </c>
      <c r="M405" s="66" t="str">
        <f aca="true">IF(OR(E405="",G405=""),"",IF(K405&lt;=0,IF(H405="","",MAX(0,H405-G405)),MAX(0,TODAY()-G405)))</f>
        <v/>
      </c>
      <c r="N405" s="78" t="str">
        <f aca="true">IF(OR(E405="",G405=""),"",IF(K405&lt;=0,"",IF(TODAY()&lt;=G405,"Not due yet",IF(TODAY()-G405&lt;=30,"1-30 days late",IF(TODAY()-G405&lt;=60,"31-60 days late",IF(TODAY()-G405&lt;=90,"61-90 days late","90+ days late"))))))</f>
        <v/>
      </c>
      <c r="O405" s="66" t="str">
        <f aca="false">IF(OR(H405="",B405="",K405&gt;0),"",H405-B405)</f>
        <v/>
      </c>
    </row>
    <row r="406" customFormat="false" ht="15" hidden="false" customHeight="false" outlineLevel="0" collapsed="false">
      <c r="A406" s="51"/>
      <c r="B406" s="65"/>
      <c r="C406" s="51"/>
      <c r="D406" s="51"/>
      <c r="E406" s="76"/>
      <c r="F406" s="66" t="str">
        <f aca="false">IF(C406="","",IFERROR(1/(1/INDEX(Clients!$H$6:$H$25,MATCH(C406,Clients!$B$6:$B$25,0))),Settings!$C$10))</f>
        <v/>
      </c>
      <c r="G406" s="77" t="str">
        <f aca="false">IF(OR(B406="",F406=""),"",B406+F406)</f>
        <v/>
      </c>
      <c r="H406" s="65"/>
      <c r="I406" s="76"/>
      <c r="J406" s="51"/>
      <c r="K406" s="73" t="str">
        <f aca="false">IF(E406="","",E406-N(I406))</f>
        <v/>
      </c>
      <c r="L406" s="78" t="str">
        <f aca="true">IF(E406="","",IF(K406&lt;=0,"Paid",IF(AND(G406&lt;&gt;"",TODAY()&gt;G406),"Overdue",IF(N(I406)&gt;0,"Partial","Open"))))</f>
        <v/>
      </c>
      <c r="M406" s="66" t="str">
        <f aca="true">IF(OR(E406="",G406=""),"",IF(K406&lt;=0,IF(H406="","",MAX(0,H406-G406)),MAX(0,TODAY()-G406)))</f>
        <v/>
      </c>
      <c r="N406" s="78" t="str">
        <f aca="true">IF(OR(E406="",G406=""),"",IF(K406&lt;=0,"",IF(TODAY()&lt;=G406,"Not due yet",IF(TODAY()-G406&lt;=30,"1-30 days late",IF(TODAY()-G406&lt;=60,"31-60 days late",IF(TODAY()-G406&lt;=90,"61-90 days late","90+ days late"))))))</f>
        <v/>
      </c>
      <c r="O406" s="66" t="str">
        <f aca="false">IF(OR(H406="",B406="",K406&gt;0),"",H406-B406)</f>
        <v/>
      </c>
    </row>
    <row r="407" customFormat="false" ht="15" hidden="false" customHeight="false" outlineLevel="0" collapsed="false">
      <c r="A407" s="51"/>
      <c r="B407" s="65"/>
      <c r="C407" s="51"/>
      <c r="D407" s="51"/>
      <c r="E407" s="76"/>
      <c r="F407" s="66" t="str">
        <f aca="false">IF(C407="","",IFERROR(1/(1/INDEX(Clients!$H$6:$H$25,MATCH(C407,Clients!$B$6:$B$25,0))),Settings!$C$10))</f>
        <v/>
      </c>
      <c r="G407" s="77" t="str">
        <f aca="false">IF(OR(B407="",F407=""),"",B407+F407)</f>
        <v/>
      </c>
      <c r="H407" s="65"/>
      <c r="I407" s="76"/>
      <c r="J407" s="51"/>
      <c r="K407" s="73" t="str">
        <f aca="false">IF(E407="","",E407-N(I407))</f>
        <v/>
      </c>
      <c r="L407" s="78" t="str">
        <f aca="true">IF(E407="","",IF(K407&lt;=0,"Paid",IF(AND(G407&lt;&gt;"",TODAY()&gt;G407),"Overdue",IF(N(I407)&gt;0,"Partial","Open"))))</f>
        <v/>
      </c>
      <c r="M407" s="66" t="str">
        <f aca="true">IF(OR(E407="",G407=""),"",IF(K407&lt;=0,IF(H407="","",MAX(0,H407-G407)),MAX(0,TODAY()-G407)))</f>
        <v/>
      </c>
      <c r="N407" s="78" t="str">
        <f aca="true">IF(OR(E407="",G407=""),"",IF(K407&lt;=0,"",IF(TODAY()&lt;=G407,"Not due yet",IF(TODAY()-G407&lt;=30,"1-30 days late",IF(TODAY()-G407&lt;=60,"31-60 days late",IF(TODAY()-G407&lt;=90,"61-90 days late","90+ days late"))))))</f>
        <v/>
      </c>
      <c r="O407" s="66" t="str">
        <f aca="false">IF(OR(H407="",B407="",K407&gt;0),"",H407-B407)</f>
        <v/>
      </c>
    </row>
    <row r="408" customFormat="false" ht="15" hidden="false" customHeight="false" outlineLevel="0" collapsed="false">
      <c r="A408" s="51"/>
      <c r="B408" s="65"/>
      <c r="C408" s="51"/>
      <c r="D408" s="51"/>
      <c r="E408" s="76"/>
      <c r="F408" s="66" t="str">
        <f aca="false">IF(C408="","",IFERROR(1/(1/INDEX(Clients!$H$6:$H$25,MATCH(C408,Clients!$B$6:$B$25,0))),Settings!$C$10))</f>
        <v/>
      </c>
      <c r="G408" s="77" t="str">
        <f aca="false">IF(OR(B408="",F408=""),"",B408+F408)</f>
        <v/>
      </c>
      <c r="H408" s="65"/>
      <c r="I408" s="76"/>
      <c r="J408" s="51"/>
      <c r="K408" s="73" t="str">
        <f aca="false">IF(E408="","",E408-N(I408))</f>
        <v/>
      </c>
      <c r="L408" s="78" t="str">
        <f aca="true">IF(E408="","",IF(K408&lt;=0,"Paid",IF(AND(G408&lt;&gt;"",TODAY()&gt;G408),"Overdue",IF(N(I408)&gt;0,"Partial","Open"))))</f>
        <v/>
      </c>
      <c r="M408" s="66" t="str">
        <f aca="true">IF(OR(E408="",G408=""),"",IF(K408&lt;=0,IF(H408="","",MAX(0,H408-G408)),MAX(0,TODAY()-G408)))</f>
        <v/>
      </c>
      <c r="N408" s="78" t="str">
        <f aca="true">IF(OR(E408="",G408=""),"",IF(K408&lt;=0,"",IF(TODAY()&lt;=G408,"Not due yet",IF(TODAY()-G408&lt;=30,"1-30 days late",IF(TODAY()-G408&lt;=60,"31-60 days late",IF(TODAY()-G408&lt;=90,"61-90 days late","90+ days late"))))))</f>
        <v/>
      </c>
      <c r="O408" s="66" t="str">
        <f aca="false">IF(OR(H408="",B408="",K408&gt;0),"",H408-B408)</f>
        <v/>
      </c>
    </row>
    <row r="409" customFormat="false" ht="15" hidden="false" customHeight="false" outlineLevel="0" collapsed="false">
      <c r="A409" s="51"/>
      <c r="B409" s="65"/>
      <c r="C409" s="51"/>
      <c r="D409" s="51"/>
      <c r="E409" s="76"/>
      <c r="F409" s="66" t="str">
        <f aca="false">IF(C409="","",IFERROR(1/(1/INDEX(Clients!$H$6:$H$25,MATCH(C409,Clients!$B$6:$B$25,0))),Settings!$C$10))</f>
        <v/>
      </c>
      <c r="G409" s="77" t="str">
        <f aca="false">IF(OR(B409="",F409=""),"",B409+F409)</f>
        <v/>
      </c>
      <c r="H409" s="65"/>
      <c r="I409" s="76"/>
      <c r="J409" s="51"/>
      <c r="K409" s="73" t="str">
        <f aca="false">IF(E409="","",E409-N(I409))</f>
        <v/>
      </c>
      <c r="L409" s="78" t="str">
        <f aca="true">IF(E409="","",IF(K409&lt;=0,"Paid",IF(AND(G409&lt;&gt;"",TODAY()&gt;G409),"Overdue",IF(N(I409)&gt;0,"Partial","Open"))))</f>
        <v/>
      </c>
      <c r="M409" s="66" t="str">
        <f aca="true">IF(OR(E409="",G409=""),"",IF(K409&lt;=0,IF(H409="","",MAX(0,H409-G409)),MAX(0,TODAY()-G409)))</f>
        <v/>
      </c>
      <c r="N409" s="78" t="str">
        <f aca="true">IF(OR(E409="",G409=""),"",IF(K409&lt;=0,"",IF(TODAY()&lt;=G409,"Not due yet",IF(TODAY()-G409&lt;=30,"1-30 days late",IF(TODAY()-G409&lt;=60,"31-60 days late",IF(TODAY()-G409&lt;=90,"61-90 days late","90+ days late"))))))</f>
        <v/>
      </c>
      <c r="O409" s="66" t="str">
        <f aca="false">IF(OR(H409="",B409="",K409&gt;0),"",H409-B409)</f>
        <v/>
      </c>
    </row>
    <row r="410" customFormat="false" ht="15" hidden="false" customHeight="false" outlineLevel="0" collapsed="false">
      <c r="A410" s="51"/>
      <c r="B410" s="65"/>
      <c r="C410" s="51"/>
      <c r="D410" s="51"/>
      <c r="E410" s="76"/>
      <c r="F410" s="66" t="str">
        <f aca="false">IF(C410="","",IFERROR(1/(1/INDEX(Clients!$H$6:$H$25,MATCH(C410,Clients!$B$6:$B$25,0))),Settings!$C$10))</f>
        <v/>
      </c>
      <c r="G410" s="77" t="str">
        <f aca="false">IF(OR(B410="",F410=""),"",B410+F410)</f>
        <v/>
      </c>
      <c r="H410" s="65"/>
      <c r="I410" s="76"/>
      <c r="J410" s="51"/>
      <c r="K410" s="73" t="str">
        <f aca="false">IF(E410="","",E410-N(I410))</f>
        <v/>
      </c>
      <c r="L410" s="78" t="str">
        <f aca="true">IF(E410="","",IF(K410&lt;=0,"Paid",IF(AND(G410&lt;&gt;"",TODAY()&gt;G410),"Overdue",IF(N(I410)&gt;0,"Partial","Open"))))</f>
        <v/>
      </c>
      <c r="M410" s="66" t="str">
        <f aca="true">IF(OR(E410="",G410=""),"",IF(K410&lt;=0,IF(H410="","",MAX(0,H410-G410)),MAX(0,TODAY()-G410)))</f>
        <v/>
      </c>
      <c r="N410" s="78" t="str">
        <f aca="true">IF(OR(E410="",G410=""),"",IF(K410&lt;=0,"",IF(TODAY()&lt;=G410,"Not due yet",IF(TODAY()-G410&lt;=30,"1-30 days late",IF(TODAY()-G410&lt;=60,"31-60 days late",IF(TODAY()-G410&lt;=90,"61-90 days late","90+ days late"))))))</f>
        <v/>
      </c>
      <c r="O410" s="66" t="str">
        <f aca="false">IF(OR(H410="",B410="",K410&gt;0),"",H410-B410)</f>
        <v/>
      </c>
    </row>
    <row r="411" customFormat="false" ht="15" hidden="false" customHeight="false" outlineLevel="0" collapsed="false">
      <c r="A411" s="51"/>
      <c r="B411" s="65"/>
      <c r="C411" s="51"/>
      <c r="D411" s="51"/>
      <c r="E411" s="76"/>
      <c r="F411" s="66" t="str">
        <f aca="false">IF(C411="","",IFERROR(1/(1/INDEX(Clients!$H$6:$H$25,MATCH(C411,Clients!$B$6:$B$25,0))),Settings!$C$10))</f>
        <v/>
      </c>
      <c r="G411" s="77" t="str">
        <f aca="false">IF(OR(B411="",F411=""),"",B411+F411)</f>
        <v/>
      </c>
      <c r="H411" s="65"/>
      <c r="I411" s="76"/>
      <c r="J411" s="51"/>
      <c r="K411" s="73" t="str">
        <f aca="false">IF(E411="","",E411-N(I411))</f>
        <v/>
      </c>
      <c r="L411" s="78" t="str">
        <f aca="true">IF(E411="","",IF(K411&lt;=0,"Paid",IF(AND(G411&lt;&gt;"",TODAY()&gt;G411),"Overdue",IF(N(I411)&gt;0,"Partial","Open"))))</f>
        <v/>
      </c>
      <c r="M411" s="66" t="str">
        <f aca="true">IF(OR(E411="",G411=""),"",IF(K411&lt;=0,IF(H411="","",MAX(0,H411-G411)),MAX(0,TODAY()-G411)))</f>
        <v/>
      </c>
      <c r="N411" s="78" t="str">
        <f aca="true">IF(OR(E411="",G411=""),"",IF(K411&lt;=0,"",IF(TODAY()&lt;=G411,"Not due yet",IF(TODAY()-G411&lt;=30,"1-30 days late",IF(TODAY()-G411&lt;=60,"31-60 days late",IF(TODAY()-G411&lt;=90,"61-90 days late","90+ days late"))))))</f>
        <v/>
      </c>
      <c r="O411" s="66" t="str">
        <f aca="false">IF(OR(H411="",B411="",K411&gt;0),"",H411-B411)</f>
        <v/>
      </c>
    </row>
    <row r="412" customFormat="false" ht="15" hidden="false" customHeight="false" outlineLevel="0" collapsed="false">
      <c r="A412" s="51"/>
      <c r="B412" s="65"/>
      <c r="C412" s="51"/>
      <c r="D412" s="51"/>
      <c r="E412" s="76"/>
      <c r="F412" s="66" t="str">
        <f aca="false">IF(C412="","",IFERROR(1/(1/INDEX(Clients!$H$6:$H$25,MATCH(C412,Clients!$B$6:$B$25,0))),Settings!$C$10))</f>
        <v/>
      </c>
      <c r="G412" s="77" t="str">
        <f aca="false">IF(OR(B412="",F412=""),"",B412+F412)</f>
        <v/>
      </c>
      <c r="H412" s="65"/>
      <c r="I412" s="76"/>
      <c r="J412" s="51"/>
      <c r="K412" s="73" t="str">
        <f aca="false">IF(E412="","",E412-N(I412))</f>
        <v/>
      </c>
      <c r="L412" s="78" t="str">
        <f aca="true">IF(E412="","",IF(K412&lt;=0,"Paid",IF(AND(G412&lt;&gt;"",TODAY()&gt;G412),"Overdue",IF(N(I412)&gt;0,"Partial","Open"))))</f>
        <v/>
      </c>
      <c r="M412" s="66" t="str">
        <f aca="true">IF(OR(E412="",G412=""),"",IF(K412&lt;=0,IF(H412="","",MAX(0,H412-G412)),MAX(0,TODAY()-G412)))</f>
        <v/>
      </c>
      <c r="N412" s="78" t="str">
        <f aca="true">IF(OR(E412="",G412=""),"",IF(K412&lt;=0,"",IF(TODAY()&lt;=G412,"Not due yet",IF(TODAY()-G412&lt;=30,"1-30 days late",IF(TODAY()-G412&lt;=60,"31-60 days late",IF(TODAY()-G412&lt;=90,"61-90 days late","90+ days late"))))))</f>
        <v/>
      </c>
      <c r="O412" s="66" t="str">
        <f aca="false">IF(OR(H412="",B412="",K412&gt;0),"",H412-B412)</f>
        <v/>
      </c>
    </row>
    <row r="413" customFormat="false" ht="15" hidden="false" customHeight="false" outlineLevel="0" collapsed="false">
      <c r="A413" s="51"/>
      <c r="B413" s="65"/>
      <c r="C413" s="51"/>
      <c r="D413" s="51"/>
      <c r="E413" s="76"/>
      <c r="F413" s="66" t="str">
        <f aca="false">IF(C413="","",IFERROR(1/(1/INDEX(Clients!$H$6:$H$25,MATCH(C413,Clients!$B$6:$B$25,0))),Settings!$C$10))</f>
        <v/>
      </c>
      <c r="G413" s="77" t="str">
        <f aca="false">IF(OR(B413="",F413=""),"",B413+F413)</f>
        <v/>
      </c>
      <c r="H413" s="65"/>
      <c r="I413" s="76"/>
      <c r="J413" s="51"/>
      <c r="K413" s="73" t="str">
        <f aca="false">IF(E413="","",E413-N(I413))</f>
        <v/>
      </c>
      <c r="L413" s="78" t="str">
        <f aca="true">IF(E413="","",IF(K413&lt;=0,"Paid",IF(AND(G413&lt;&gt;"",TODAY()&gt;G413),"Overdue",IF(N(I413)&gt;0,"Partial","Open"))))</f>
        <v/>
      </c>
      <c r="M413" s="66" t="str">
        <f aca="true">IF(OR(E413="",G413=""),"",IF(K413&lt;=0,IF(H413="","",MAX(0,H413-G413)),MAX(0,TODAY()-G413)))</f>
        <v/>
      </c>
      <c r="N413" s="78" t="str">
        <f aca="true">IF(OR(E413="",G413=""),"",IF(K413&lt;=0,"",IF(TODAY()&lt;=G413,"Not due yet",IF(TODAY()-G413&lt;=30,"1-30 days late",IF(TODAY()-G413&lt;=60,"31-60 days late",IF(TODAY()-G413&lt;=90,"61-90 days late","90+ days late"))))))</f>
        <v/>
      </c>
      <c r="O413" s="66" t="str">
        <f aca="false">IF(OR(H413="",B413="",K413&gt;0),"",H413-B413)</f>
        <v/>
      </c>
    </row>
    <row r="414" customFormat="false" ht="15" hidden="false" customHeight="false" outlineLevel="0" collapsed="false">
      <c r="A414" s="51"/>
      <c r="B414" s="65"/>
      <c r="C414" s="51"/>
      <c r="D414" s="51"/>
      <c r="E414" s="76"/>
      <c r="F414" s="66" t="str">
        <f aca="false">IF(C414="","",IFERROR(1/(1/INDEX(Clients!$H$6:$H$25,MATCH(C414,Clients!$B$6:$B$25,0))),Settings!$C$10))</f>
        <v/>
      </c>
      <c r="G414" s="77" t="str">
        <f aca="false">IF(OR(B414="",F414=""),"",B414+F414)</f>
        <v/>
      </c>
      <c r="H414" s="65"/>
      <c r="I414" s="76"/>
      <c r="J414" s="51"/>
      <c r="K414" s="73" t="str">
        <f aca="false">IF(E414="","",E414-N(I414))</f>
        <v/>
      </c>
      <c r="L414" s="78" t="str">
        <f aca="true">IF(E414="","",IF(K414&lt;=0,"Paid",IF(AND(G414&lt;&gt;"",TODAY()&gt;G414),"Overdue",IF(N(I414)&gt;0,"Partial","Open"))))</f>
        <v/>
      </c>
      <c r="M414" s="66" t="str">
        <f aca="true">IF(OR(E414="",G414=""),"",IF(K414&lt;=0,IF(H414="","",MAX(0,H414-G414)),MAX(0,TODAY()-G414)))</f>
        <v/>
      </c>
      <c r="N414" s="78" t="str">
        <f aca="true">IF(OR(E414="",G414=""),"",IF(K414&lt;=0,"",IF(TODAY()&lt;=G414,"Not due yet",IF(TODAY()-G414&lt;=30,"1-30 days late",IF(TODAY()-G414&lt;=60,"31-60 days late",IF(TODAY()-G414&lt;=90,"61-90 days late","90+ days late"))))))</f>
        <v/>
      </c>
      <c r="O414" s="66" t="str">
        <f aca="false">IF(OR(H414="",B414="",K414&gt;0),"",H414-B414)</f>
        <v/>
      </c>
    </row>
    <row r="415" customFormat="false" ht="15" hidden="false" customHeight="false" outlineLevel="0" collapsed="false">
      <c r="A415" s="51"/>
      <c r="B415" s="65"/>
      <c r="C415" s="51"/>
      <c r="D415" s="51"/>
      <c r="E415" s="76"/>
      <c r="F415" s="66" t="str">
        <f aca="false">IF(C415="","",IFERROR(1/(1/INDEX(Clients!$H$6:$H$25,MATCH(C415,Clients!$B$6:$B$25,0))),Settings!$C$10))</f>
        <v/>
      </c>
      <c r="G415" s="77" t="str">
        <f aca="false">IF(OR(B415="",F415=""),"",B415+F415)</f>
        <v/>
      </c>
      <c r="H415" s="65"/>
      <c r="I415" s="76"/>
      <c r="J415" s="51"/>
      <c r="K415" s="73" t="str">
        <f aca="false">IF(E415="","",E415-N(I415))</f>
        <v/>
      </c>
      <c r="L415" s="78" t="str">
        <f aca="true">IF(E415="","",IF(K415&lt;=0,"Paid",IF(AND(G415&lt;&gt;"",TODAY()&gt;G415),"Overdue",IF(N(I415)&gt;0,"Partial","Open"))))</f>
        <v/>
      </c>
      <c r="M415" s="66" t="str">
        <f aca="true">IF(OR(E415="",G415=""),"",IF(K415&lt;=0,IF(H415="","",MAX(0,H415-G415)),MAX(0,TODAY()-G415)))</f>
        <v/>
      </c>
      <c r="N415" s="78" t="str">
        <f aca="true">IF(OR(E415="",G415=""),"",IF(K415&lt;=0,"",IF(TODAY()&lt;=G415,"Not due yet",IF(TODAY()-G415&lt;=30,"1-30 days late",IF(TODAY()-G415&lt;=60,"31-60 days late",IF(TODAY()-G415&lt;=90,"61-90 days late","90+ days late"))))))</f>
        <v/>
      </c>
      <c r="O415" s="66" t="str">
        <f aca="false">IF(OR(H415="",B415="",K415&gt;0),"",H415-B415)</f>
        <v/>
      </c>
    </row>
    <row r="416" customFormat="false" ht="15" hidden="false" customHeight="false" outlineLevel="0" collapsed="false">
      <c r="A416" s="51"/>
      <c r="B416" s="65"/>
      <c r="C416" s="51"/>
      <c r="D416" s="51"/>
      <c r="E416" s="76"/>
      <c r="F416" s="66" t="str">
        <f aca="false">IF(C416="","",IFERROR(1/(1/INDEX(Clients!$H$6:$H$25,MATCH(C416,Clients!$B$6:$B$25,0))),Settings!$C$10))</f>
        <v/>
      </c>
      <c r="G416" s="77" t="str">
        <f aca="false">IF(OR(B416="",F416=""),"",B416+F416)</f>
        <v/>
      </c>
      <c r="H416" s="65"/>
      <c r="I416" s="76"/>
      <c r="J416" s="51"/>
      <c r="K416" s="73" t="str">
        <f aca="false">IF(E416="","",E416-N(I416))</f>
        <v/>
      </c>
      <c r="L416" s="78" t="str">
        <f aca="true">IF(E416="","",IF(K416&lt;=0,"Paid",IF(AND(G416&lt;&gt;"",TODAY()&gt;G416),"Overdue",IF(N(I416)&gt;0,"Partial","Open"))))</f>
        <v/>
      </c>
      <c r="M416" s="66" t="str">
        <f aca="true">IF(OR(E416="",G416=""),"",IF(K416&lt;=0,IF(H416="","",MAX(0,H416-G416)),MAX(0,TODAY()-G416)))</f>
        <v/>
      </c>
      <c r="N416" s="78" t="str">
        <f aca="true">IF(OR(E416="",G416=""),"",IF(K416&lt;=0,"",IF(TODAY()&lt;=G416,"Not due yet",IF(TODAY()-G416&lt;=30,"1-30 days late",IF(TODAY()-G416&lt;=60,"31-60 days late",IF(TODAY()-G416&lt;=90,"61-90 days late","90+ days late"))))))</f>
        <v/>
      </c>
      <c r="O416" s="66" t="str">
        <f aca="false">IF(OR(H416="",B416="",K416&gt;0),"",H416-B416)</f>
        <v/>
      </c>
    </row>
    <row r="417" customFormat="false" ht="15" hidden="false" customHeight="false" outlineLevel="0" collapsed="false">
      <c r="A417" s="51"/>
      <c r="B417" s="65"/>
      <c r="C417" s="51"/>
      <c r="D417" s="51"/>
      <c r="E417" s="76"/>
      <c r="F417" s="66" t="str">
        <f aca="false">IF(C417="","",IFERROR(1/(1/INDEX(Clients!$H$6:$H$25,MATCH(C417,Clients!$B$6:$B$25,0))),Settings!$C$10))</f>
        <v/>
      </c>
      <c r="G417" s="77" t="str">
        <f aca="false">IF(OR(B417="",F417=""),"",B417+F417)</f>
        <v/>
      </c>
      <c r="H417" s="65"/>
      <c r="I417" s="76"/>
      <c r="J417" s="51"/>
      <c r="K417" s="73" t="str">
        <f aca="false">IF(E417="","",E417-N(I417))</f>
        <v/>
      </c>
      <c r="L417" s="78" t="str">
        <f aca="true">IF(E417="","",IF(K417&lt;=0,"Paid",IF(AND(G417&lt;&gt;"",TODAY()&gt;G417),"Overdue",IF(N(I417)&gt;0,"Partial","Open"))))</f>
        <v/>
      </c>
      <c r="M417" s="66" t="str">
        <f aca="true">IF(OR(E417="",G417=""),"",IF(K417&lt;=0,IF(H417="","",MAX(0,H417-G417)),MAX(0,TODAY()-G417)))</f>
        <v/>
      </c>
      <c r="N417" s="78" t="str">
        <f aca="true">IF(OR(E417="",G417=""),"",IF(K417&lt;=0,"",IF(TODAY()&lt;=G417,"Not due yet",IF(TODAY()-G417&lt;=30,"1-30 days late",IF(TODAY()-G417&lt;=60,"31-60 days late",IF(TODAY()-G417&lt;=90,"61-90 days late","90+ days late"))))))</f>
        <v/>
      </c>
      <c r="O417" s="66" t="str">
        <f aca="false">IF(OR(H417="",B417="",K417&gt;0),"",H417-B417)</f>
        <v/>
      </c>
    </row>
    <row r="418" customFormat="false" ht="15" hidden="false" customHeight="false" outlineLevel="0" collapsed="false">
      <c r="A418" s="51"/>
      <c r="B418" s="65"/>
      <c r="C418" s="51"/>
      <c r="D418" s="51"/>
      <c r="E418" s="76"/>
      <c r="F418" s="66" t="str">
        <f aca="false">IF(C418="","",IFERROR(1/(1/INDEX(Clients!$H$6:$H$25,MATCH(C418,Clients!$B$6:$B$25,0))),Settings!$C$10))</f>
        <v/>
      </c>
      <c r="G418" s="77" t="str">
        <f aca="false">IF(OR(B418="",F418=""),"",B418+F418)</f>
        <v/>
      </c>
      <c r="H418" s="65"/>
      <c r="I418" s="76"/>
      <c r="J418" s="51"/>
      <c r="K418" s="73" t="str">
        <f aca="false">IF(E418="","",E418-N(I418))</f>
        <v/>
      </c>
      <c r="L418" s="78" t="str">
        <f aca="true">IF(E418="","",IF(K418&lt;=0,"Paid",IF(AND(G418&lt;&gt;"",TODAY()&gt;G418),"Overdue",IF(N(I418)&gt;0,"Partial","Open"))))</f>
        <v/>
      </c>
      <c r="M418" s="66" t="str">
        <f aca="true">IF(OR(E418="",G418=""),"",IF(K418&lt;=0,IF(H418="","",MAX(0,H418-G418)),MAX(0,TODAY()-G418)))</f>
        <v/>
      </c>
      <c r="N418" s="78" t="str">
        <f aca="true">IF(OR(E418="",G418=""),"",IF(K418&lt;=0,"",IF(TODAY()&lt;=G418,"Not due yet",IF(TODAY()-G418&lt;=30,"1-30 days late",IF(TODAY()-G418&lt;=60,"31-60 days late",IF(TODAY()-G418&lt;=90,"61-90 days late","90+ days late"))))))</f>
        <v/>
      </c>
      <c r="O418" s="66" t="str">
        <f aca="false">IF(OR(H418="",B418="",K418&gt;0),"",H418-B418)</f>
        <v/>
      </c>
    </row>
    <row r="419" customFormat="false" ht="15" hidden="false" customHeight="false" outlineLevel="0" collapsed="false">
      <c r="A419" s="51"/>
      <c r="B419" s="65"/>
      <c r="C419" s="51"/>
      <c r="D419" s="51"/>
      <c r="E419" s="76"/>
      <c r="F419" s="66" t="str">
        <f aca="false">IF(C419="","",IFERROR(1/(1/INDEX(Clients!$H$6:$H$25,MATCH(C419,Clients!$B$6:$B$25,0))),Settings!$C$10))</f>
        <v/>
      </c>
      <c r="G419" s="77" t="str">
        <f aca="false">IF(OR(B419="",F419=""),"",B419+F419)</f>
        <v/>
      </c>
      <c r="H419" s="65"/>
      <c r="I419" s="76"/>
      <c r="J419" s="51"/>
      <c r="K419" s="73" t="str">
        <f aca="false">IF(E419="","",E419-N(I419))</f>
        <v/>
      </c>
      <c r="L419" s="78" t="str">
        <f aca="true">IF(E419="","",IF(K419&lt;=0,"Paid",IF(AND(G419&lt;&gt;"",TODAY()&gt;G419),"Overdue",IF(N(I419)&gt;0,"Partial","Open"))))</f>
        <v/>
      </c>
      <c r="M419" s="66" t="str">
        <f aca="true">IF(OR(E419="",G419=""),"",IF(K419&lt;=0,IF(H419="","",MAX(0,H419-G419)),MAX(0,TODAY()-G419)))</f>
        <v/>
      </c>
      <c r="N419" s="78" t="str">
        <f aca="true">IF(OR(E419="",G419=""),"",IF(K419&lt;=0,"",IF(TODAY()&lt;=G419,"Not due yet",IF(TODAY()-G419&lt;=30,"1-30 days late",IF(TODAY()-G419&lt;=60,"31-60 days late",IF(TODAY()-G419&lt;=90,"61-90 days late","90+ days late"))))))</f>
        <v/>
      </c>
      <c r="O419" s="66" t="str">
        <f aca="false">IF(OR(H419="",B419="",K419&gt;0),"",H419-B419)</f>
        <v/>
      </c>
    </row>
    <row r="420" customFormat="false" ht="15" hidden="false" customHeight="false" outlineLevel="0" collapsed="false">
      <c r="A420" s="51"/>
      <c r="B420" s="65"/>
      <c r="C420" s="51"/>
      <c r="D420" s="51"/>
      <c r="E420" s="76"/>
      <c r="F420" s="66" t="str">
        <f aca="false">IF(C420="","",IFERROR(1/(1/INDEX(Clients!$H$6:$H$25,MATCH(C420,Clients!$B$6:$B$25,0))),Settings!$C$10))</f>
        <v/>
      </c>
      <c r="G420" s="77" t="str">
        <f aca="false">IF(OR(B420="",F420=""),"",B420+F420)</f>
        <v/>
      </c>
      <c r="H420" s="65"/>
      <c r="I420" s="76"/>
      <c r="J420" s="51"/>
      <c r="K420" s="73" t="str">
        <f aca="false">IF(E420="","",E420-N(I420))</f>
        <v/>
      </c>
      <c r="L420" s="78" t="str">
        <f aca="true">IF(E420="","",IF(K420&lt;=0,"Paid",IF(AND(G420&lt;&gt;"",TODAY()&gt;G420),"Overdue",IF(N(I420)&gt;0,"Partial","Open"))))</f>
        <v/>
      </c>
      <c r="M420" s="66" t="str">
        <f aca="true">IF(OR(E420="",G420=""),"",IF(K420&lt;=0,IF(H420="","",MAX(0,H420-G420)),MAX(0,TODAY()-G420)))</f>
        <v/>
      </c>
      <c r="N420" s="78" t="str">
        <f aca="true">IF(OR(E420="",G420=""),"",IF(K420&lt;=0,"",IF(TODAY()&lt;=G420,"Not due yet",IF(TODAY()-G420&lt;=30,"1-30 days late",IF(TODAY()-G420&lt;=60,"31-60 days late",IF(TODAY()-G420&lt;=90,"61-90 days late","90+ days late"))))))</f>
        <v/>
      </c>
      <c r="O420" s="66" t="str">
        <f aca="false">IF(OR(H420="",B420="",K420&gt;0),"",H420-B420)</f>
        <v/>
      </c>
    </row>
    <row r="421" customFormat="false" ht="15" hidden="false" customHeight="false" outlineLevel="0" collapsed="false">
      <c r="A421" s="51"/>
      <c r="B421" s="65"/>
      <c r="C421" s="51"/>
      <c r="D421" s="51"/>
      <c r="E421" s="76"/>
      <c r="F421" s="66" t="str">
        <f aca="false">IF(C421="","",IFERROR(1/(1/INDEX(Clients!$H$6:$H$25,MATCH(C421,Clients!$B$6:$B$25,0))),Settings!$C$10))</f>
        <v/>
      </c>
      <c r="G421" s="77" t="str">
        <f aca="false">IF(OR(B421="",F421=""),"",B421+F421)</f>
        <v/>
      </c>
      <c r="H421" s="65"/>
      <c r="I421" s="76"/>
      <c r="J421" s="51"/>
      <c r="K421" s="73" t="str">
        <f aca="false">IF(E421="","",E421-N(I421))</f>
        <v/>
      </c>
      <c r="L421" s="78" t="str">
        <f aca="true">IF(E421="","",IF(K421&lt;=0,"Paid",IF(AND(G421&lt;&gt;"",TODAY()&gt;G421),"Overdue",IF(N(I421)&gt;0,"Partial","Open"))))</f>
        <v/>
      </c>
      <c r="M421" s="66" t="str">
        <f aca="true">IF(OR(E421="",G421=""),"",IF(K421&lt;=0,IF(H421="","",MAX(0,H421-G421)),MAX(0,TODAY()-G421)))</f>
        <v/>
      </c>
      <c r="N421" s="78" t="str">
        <f aca="true">IF(OR(E421="",G421=""),"",IF(K421&lt;=0,"",IF(TODAY()&lt;=G421,"Not due yet",IF(TODAY()-G421&lt;=30,"1-30 days late",IF(TODAY()-G421&lt;=60,"31-60 days late",IF(TODAY()-G421&lt;=90,"61-90 days late","90+ days late"))))))</f>
        <v/>
      </c>
      <c r="O421" s="66" t="str">
        <f aca="false">IF(OR(H421="",B421="",K421&gt;0),"",H421-B421)</f>
        <v/>
      </c>
    </row>
    <row r="422" customFormat="false" ht="15" hidden="false" customHeight="false" outlineLevel="0" collapsed="false">
      <c r="A422" s="51"/>
      <c r="B422" s="65"/>
      <c r="C422" s="51"/>
      <c r="D422" s="51"/>
      <c r="E422" s="76"/>
      <c r="F422" s="66" t="str">
        <f aca="false">IF(C422="","",IFERROR(1/(1/INDEX(Clients!$H$6:$H$25,MATCH(C422,Clients!$B$6:$B$25,0))),Settings!$C$10))</f>
        <v/>
      </c>
      <c r="G422" s="77" t="str">
        <f aca="false">IF(OR(B422="",F422=""),"",B422+F422)</f>
        <v/>
      </c>
      <c r="H422" s="65"/>
      <c r="I422" s="76"/>
      <c r="J422" s="51"/>
      <c r="K422" s="73" t="str">
        <f aca="false">IF(E422="","",E422-N(I422))</f>
        <v/>
      </c>
      <c r="L422" s="78" t="str">
        <f aca="true">IF(E422="","",IF(K422&lt;=0,"Paid",IF(AND(G422&lt;&gt;"",TODAY()&gt;G422),"Overdue",IF(N(I422)&gt;0,"Partial","Open"))))</f>
        <v/>
      </c>
      <c r="M422" s="66" t="str">
        <f aca="true">IF(OR(E422="",G422=""),"",IF(K422&lt;=0,IF(H422="","",MAX(0,H422-G422)),MAX(0,TODAY()-G422)))</f>
        <v/>
      </c>
      <c r="N422" s="78" t="str">
        <f aca="true">IF(OR(E422="",G422=""),"",IF(K422&lt;=0,"",IF(TODAY()&lt;=G422,"Not due yet",IF(TODAY()-G422&lt;=30,"1-30 days late",IF(TODAY()-G422&lt;=60,"31-60 days late",IF(TODAY()-G422&lt;=90,"61-90 days late","90+ days late"))))))</f>
        <v/>
      </c>
      <c r="O422" s="66" t="str">
        <f aca="false">IF(OR(H422="",B422="",K422&gt;0),"",H422-B422)</f>
        <v/>
      </c>
    </row>
    <row r="423" customFormat="false" ht="15" hidden="false" customHeight="false" outlineLevel="0" collapsed="false">
      <c r="A423" s="51"/>
      <c r="B423" s="65"/>
      <c r="C423" s="51"/>
      <c r="D423" s="51"/>
      <c r="E423" s="76"/>
      <c r="F423" s="66" t="str">
        <f aca="false">IF(C423="","",IFERROR(1/(1/INDEX(Clients!$H$6:$H$25,MATCH(C423,Clients!$B$6:$B$25,0))),Settings!$C$10))</f>
        <v/>
      </c>
      <c r="G423" s="77" t="str">
        <f aca="false">IF(OR(B423="",F423=""),"",B423+F423)</f>
        <v/>
      </c>
      <c r="H423" s="65"/>
      <c r="I423" s="76"/>
      <c r="J423" s="51"/>
      <c r="K423" s="73" t="str">
        <f aca="false">IF(E423="","",E423-N(I423))</f>
        <v/>
      </c>
      <c r="L423" s="78" t="str">
        <f aca="true">IF(E423="","",IF(K423&lt;=0,"Paid",IF(AND(G423&lt;&gt;"",TODAY()&gt;G423),"Overdue",IF(N(I423)&gt;0,"Partial","Open"))))</f>
        <v/>
      </c>
      <c r="M423" s="66" t="str">
        <f aca="true">IF(OR(E423="",G423=""),"",IF(K423&lt;=0,IF(H423="","",MAX(0,H423-G423)),MAX(0,TODAY()-G423)))</f>
        <v/>
      </c>
      <c r="N423" s="78" t="str">
        <f aca="true">IF(OR(E423="",G423=""),"",IF(K423&lt;=0,"",IF(TODAY()&lt;=G423,"Not due yet",IF(TODAY()-G423&lt;=30,"1-30 days late",IF(TODAY()-G423&lt;=60,"31-60 days late",IF(TODAY()-G423&lt;=90,"61-90 days late","90+ days late"))))))</f>
        <v/>
      </c>
      <c r="O423" s="66" t="str">
        <f aca="false">IF(OR(H423="",B423="",K423&gt;0),"",H423-B423)</f>
        <v/>
      </c>
    </row>
    <row r="424" customFormat="false" ht="15" hidden="false" customHeight="false" outlineLevel="0" collapsed="false">
      <c r="A424" s="51"/>
      <c r="B424" s="65"/>
      <c r="C424" s="51"/>
      <c r="D424" s="51"/>
      <c r="E424" s="76"/>
      <c r="F424" s="66" t="str">
        <f aca="false">IF(C424="","",IFERROR(1/(1/INDEX(Clients!$H$6:$H$25,MATCH(C424,Clients!$B$6:$B$25,0))),Settings!$C$10))</f>
        <v/>
      </c>
      <c r="G424" s="77" t="str">
        <f aca="false">IF(OR(B424="",F424=""),"",B424+F424)</f>
        <v/>
      </c>
      <c r="H424" s="65"/>
      <c r="I424" s="76"/>
      <c r="J424" s="51"/>
      <c r="K424" s="73" t="str">
        <f aca="false">IF(E424="","",E424-N(I424))</f>
        <v/>
      </c>
      <c r="L424" s="78" t="str">
        <f aca="true">IF(E424="","",IF(K424&lt;=0,"Paid",IF(AND(G424&lt;&gt;"",TODAY()&gt;G424),"Overdue",IF(N(I424)&gt;0,"Partial","Open"))))</f>
        <v/>
      </c>
      <c r="M424" s="66" t="str">
        <f aca="true">IF(OR(E424="",G424=""),"",IF(K424&lt;=0,IF(H424="","",MAX(0,H424-G424)),MAX(0,TODAY()-G424)))</f>
        <v/>
      </c>
      <c r="N424" s="78" t="str">
        <f aca="true">IF(OR(E424="",G424=""),"",IF(K424&lt;=0,"",IF(TODAY()&lt;=G424,"Not due yet",IF(TODAY()-G424&lt;=30,"1-30 days late",IF(TODAY()-G424&lt;=60,"31-60 days late",IF(TODAY()-G424&lt;=90,"61-90 days late","90+ days late"))))))</f>
        <v/>
      </c>
      <c r="O424" s="66" t="str">
        <f aca="false">IF(OR(H424="",B424="",K424&gt;0),"",H424-B424)</f>
        <v/>
      </c>
    </row>
    <row r="425" customFormat="false" ht="15" hidden="false" customHeight="false" outlineLevel="0" collapsed="false">
      <c r="A425" s="51"/>
      <c r="B425" s="65"/>
      <c r="C425" s="51"/>
      <c r="D425" s="51"/>
      <c r="E425" s="76"/>
      <c r="F425" s="66" t="str">
        <f aca="false">IF(C425="","",IFERROR(1/(1/INDEX(Clients!$H$6:$H$25,MATCH(C425,Clients!$B$6:$B$25,0))),Settings!$C$10))</f>
        <v/>
      </c>
      <c r="G425" s="77" t="str">
        <f aca="false">IF(OR(B425="",F425=""),"",B425+F425)</f>
        <v/>
      </c>
      <c r="H425" s="65"/>
      <c r="I425" s="76"/>
      <c r="J425" s="51"/>
      <c r="K425" s="73" t="str">
        <f aca="false">IF(E425="","",E425-N(I425))</f>
        <v/>
      </c>
      <c r="L425" s="78" t="str">
        <f aca="true">IF(E425="","",IF(K425&lt;=0,"Paid",IF(AND(G425&lt;&gt;"",TODAY()&gt;G425),"Overdue",IF(N(I425)&gt;0,"Partial","Open"))))</f>
        <v/>
      </c>
      <c r="M425" s="66" t="str">
        <f aca="true">IF(OR(E425="",G425=""),"",IF(K425&lt;=0,IF(H425="","",MAX(0,H425-G425)),MAX(0,TODAY()-G425)))</f>
        <v/>
      </c>
      <c r="N425" s="78" t="str">
        <f aca="true">IF(OR(E425="",G425=""),"",IF(K425&lt;=0,"",IF(TODAY()&lt;=G425,"Not due yet",IF(TODAY()-G425&lt;=30,"1-30 days late",IF(TODAY()-G425&lt;=60,"31-60 days late",IF(TODAY()-G425&lt;=90,"61-90 days late","90+ days late"))))))</f>
        <v/>
      </c>
      <c r="O425" s="66" t="str">
        <f aca="false">IF(OR(H425="",B425="",K425&gt;0),"",H425-B425)</f>
        <v/>
      </c>
    </row>
    <row r="426" customFormat="false" ht="15" hidden="false" customHeight="false" outlineLevel="0" collapsed="false">
      <c r="A426" s="51"/>
      <c r="B426" s="65"/>
      <c r="C426" s="51"/>
      <c r="D426" s="51"/>
      <c r="E426" s="76"/>
      <c r="F426" s="66" t="str">
        <f aca="false">IF(C426="","",IFERROR(1/(1/INDEX(Clients!$H$6:$H$25,MATCH(C426,Clients!$B$6:$B$25,0))),Settings!$C$10))</f>
        <v/>
      </c>
      <c r="G426" s="77" t="str">
        <f aca="false">IF(OR(B426="",F426=""),"",B426+F426)</f>
        <v/>
      </c>
      <c r="H426" s="65"/>
      <c r="I426" s="76"/>
      <c r="J426" s="51"/>
      <c r="K426" s="73" t="str">
        <f aca="false">IF(E426="","",E426-N(I426))</f>
        <v/>
      </c>
      <c r="L426" s="78" t="str">
        <f aca="true">IF(E426="","",IF(K426&lt;=0,"Paid",IF(AND(G426&lt;&gt;"",TODAY()&gt;G426),"Overdue",IF(N(I426)&gt;0,"Partial","Open"))))</f>
        <v/>
      </c>
      <c r="M426" s="66" t="str">
        <f aca="true">IF(OR(E426="",G426=""),"",IF(K426&lt;=0,IF(H426="","",MAX(0,H426-G426)),MAX(0,TODAY()-G426)))</f>
        <v/>
      </c>
      <c r="N426" s="78" t="str">
        <f aca="true">IF(OR(E426="",G426=""),"",IF(K426&lt;=0,"",IF(TODAY()&lt;=G426,"Not due yet",IF(TODAY()-G426&lt;=30,"1-30 days late",IF(TODAY()-G426&lt;=60,"31-60 days late",IF(TODAY()-G426&lt;=90,"61-90 days late","90+ days late"))))))</f>
        <v/>
      </c>
      <c r="O426" s="66" t="str">
        <f aca="false">IF(OR(H426="",B426="",K426&gt;0),"",H426-B426)</f>
        <v/>
      </c>
    </row>
    <row r="427" customFormat="false" ht="15" hidden="false" customHeight="false" outlineLevel="0" collapsed="false">
      <c r="A427" s="51"/>
      <c r="B427" s="65"/>
      <c r="C427" s="51"/>
      <c r="D427" s="51"/>
      <c r="E427" s="76"/>
      <c r="F427" s="66" t="str">
        <f aca="false">IF(C427="","",IFERROR(1/(1/INDEX(Clients!$H$6:$H$25,MATCH(C427,Clients!$B$6:$B$25,0))),Settings!$C$10))</f>
        <v/>
      </c>
      <c r="G427" s="77" t="str">
        <f aca="false">IF(OR(B427="",F427=""),"",B427+F427)</f>
        <v/>
      </c>
      <c r="H427" s="65"/>
      <c r="I427" s="76"/>
      <c r="J427" s="51"/>
      <c r="K427" s="73" t="str">
        <f aca="false">IF(E427="","",E427-N(I427))</f>
        <v/>
      </c>
      <c r="L427" s="78" t="str">
        <f aca="true">IF(E427="","",IF(K427&lt;=0,"Paid",IF(AND(G427&lt;&gt;"",TODAY()&gt;G427),"Overdue",IF(N(I427)&gt;0,"Partial","Open"))))</f>
        <v/>
      </c>
      <c r="M427" s="66" t="str">
        <f aca="true">IF(OR(E427="",G427=""),"",IF(K427&lt;=0,IF(H427="","",MAX(0,H427-G427)),MAX(0,TODAY()-G427)))</f>
        <v/>
      </c>
      <c r="N427" s="78" t="str">
        <f aca="true">IF(OR(E427="",G427=""),"",IF(K427&lt;=0,"",IF(TODAY()&lt;=G427,"Not due yet",IF(TODAY()-G427&lt;=30,"1-30 days late",IF(TODAY()-G427&lt;=60,"31-60 days late",IF(TODAY()-G427&lt;=90,"61-90 days late","90+ days late"))))))</f>
        <v/>
      </c>
      <c r="O427" s="66" t="str">
        <f aca="false">IF(OR(H427="",B427="",K427&gt;0),"",H427-B427)</f>
        <v/>
      </c>
    </row>
    <row r="428" customFormat="false" ht="15" hidden="false" customHeight="false" outlineLevel="0" collapsed="false">
      <c r="A428" s="51"/>
      <c r="B428" s="65"/>
      <c r="C428" s="51"/>
      <c r="D428" s="51"/>
      <c r="E428" s="76"/>
      <c r="F428" s="66" t="str">
        <f aca="false">IF(C428="","",IFERROR(1/(1/INDEX(Clients!$H$6:$H$25,MATCH(C428,Clients!$B$6:$B$25,0))),Settings!$C$10))</f>
        <v/>
      </c>
      <c r="G428" s="77" t="str">
        <f aca="false">IF(OR(B428="",F428=""),"",B428+F428)</f>
        <v/>
      </c>
      <c r="H428" s="65"/>
      <c r="I428" s="76"/>
      <c r="J428" s="51"/>
      <c r="K428" s="73" t="str">
        <f aca="false">IF(E428="","",E428-N(I428))</f>
        <v/>
      </c>
      <c r="L428" s="78" t="str">
        <f aca="true">IF(E428="","",IF(K428&lt;=0,"Paid",IF(AND(G428&lt;&gt;"",TODAY()&gt;G428),"Overdue",IF(N(I428)&gt;0,"Partial","Open"))))</f>
        <v/>
      </c>
      <c r="M428" s="66" t="str">
        <f aca="true">IF(OR(E428="",G428=""),"",IF(K428&lt;=0,IF(H428="","",MAX(0,H428-G428)),MAX(0,TODAY()-G428)))</f>
        <v/>
      </c>
      <c r="N428" s="78" t="str">
        <f aca="true">IF(OR(E428="",G428=""),"",IF(K428&lt;=0,"",IF(TODAY()&lt;=G428,"Not due yet",IF(TODAY()-G428&lt;=30,"1-30 days late",IF(TODAY()-G428&lt;=60,"31-60 days late",IF(TODAY()-G428&lt;=90,"61-90 days late","90+ days late"))))))</f>
        <v/>
      </c>
      <c r="O428" s="66" t="str">
        <f aca="false">IF(OR(H428="",B428="",K428&gt;0),"",H428-B428)</f>
        <v/>
      </c>
    </row>
    <row r="429" customFormat="false" ht="15" hidden="false" customHeight="false" outlineLevel="0" collapsed="false">
      <c r="A429" s="51"/>
      <c r="B429" s="65"/>
      <c r="C429" s="51"/>
      <c r="D429" s="51"/>
      <c r="E429" s="76"/>
      <c r="F429" s="66" t="str">
        <f aca="false">IF(C429="","",IFERROR(1/(1/INDEX(Clients!$H$6:$H$25,MATCH(C429,Clients!$B$6:$B$25,0))),Settings!$C$10))</f>
        <v/>
      </c>
      <c r="G429" s="77" t="str">
        <f aca="false">IF(OR(B429="",F429=""),"",B429+F429)</f>
        <v/>
      </c>
      <c r="H429" s="65"/>
      <c r="I429" s="76"/>
      <c r="J429" s="51"/>
      <c r="K429" s="73" t="str">
        <f aca="false">IF(E429="","",E429-N(I429))</f>
        <v/>
      </c>
      <c r="L429" s="78" t="str">
        <f aca="true">IF(E429="","",IF(K429&lt;=0,"Paid",IF(AND(G429&lt;&gt;"",TODAY()&gt;G429),"Overdue",IF(N(I429)&gt;0,"Partial","Open"))))</f>
        <v/>
      </c>
      <c r="M429" s="66" t="str">
        <f aca="true">IF(OR(E429="",G429=""),"",IF(K429&lt;=0,IF(H429="","",MAX(0,H429-G429)),MAX(0,TODAY()-G429)))</f>
        <v/>
      </c>
      <c r="N429" s="78" t="str">
        <f aca="true">IF(OR(E429="",G429=""),"",IF(K429&lt;=0,"",IF(TODAY()&lt;=G429,"Not due yet",IF(TODAY()-G429&lt;=30,"1-30 days late",IF(TODAY()-G429&lt;=60,"31-60 days late",IF(TODAY()-G429&lt;=90,"61-90 days late","90+ days late"))))))</f>
        <v/>
      </c>
      <c r="O429" s="66" t="str">
        <f aca="false">IF(OR(H429="",B429="",K429&gt;0),"",H429-B429)</f>
        <v/>
      </c>
    </row>
    <row r="430" customFormat="false" ht="15" hidden="false" customHeight="false" outlineLevel="0" collapsed="false">
      <c r="A430" s="51"/>
      <c r="B430" s="65"/>
      <c r="C430" s="51"/>
      <c r="D430" s="51"/>
      <c r="E430" s="76"/>
      <c r="F430" s="66" t="str">
        <f aca="false">IF(C430="","",IFERROR(1/(1/INDEX(Clients!$H$6:$H$25,MATCH(C430,Clients!$B$6:$B$25,0))),Settings!$C$10))</f>
        <v/>
      </c>
      <c r="G430" s="77" t="str">
        <f aca="false">IF(OR(B430="",F430=""),"",B430+F430)</f>
        <v/>
      </c>
      <c r="H430" s="65"/>
      <c r="I430" s="76"/>
      <c r="J430" s="51"/>
      <c r="K430" s="73" t="str">
        <f aca="false">IF(E430="","",E430-N(I430))</f>
        <v/>
      </c>
      <c r="L430" s="78" t="str">
        <f aca="true">IF(E430="","",IF(K430&lt;=0,"Paid",IF(AND(G430&lt;&gt;"",TODAY()&gt;G430),"Overdue",IF(N(I430)&gt;0,"Partial","Open"))))</f>
        <v/>
      </c>
      <c r="M430" s="66" t="str">
        <f aca="true">IF(OR(E430="",G430=""),"",IF(K430&lt;=0,IF(H430="","",MAX(0,H430-G430)),MAX(0,TODAY()-G430)))</f>
        <v/>
      </c>
      <c r="N430" s="78" t="str">
        <f aca="true">IF(OR(E430="",G430=""),"",IF(K430&lt;=0,"",IF(TODAY()&lt;=G430,"Not due yet",IF(TODAY()-G430&lt;=30,"1-30 days late",IF(TODAY()-G430&lt;=60,"31-60 days late",IF(TODAY()-G430&lt;=90,"61-90 days late","90+ days late"))))))</f>
        <v/>
      </c>
      <c r="O430" s="66" t="str">
        <f aca="false">IF(OR(H430="",B430="",K430&gt;0),"",H430-B430)</f>
        <v/>
      </c>
    </row>
    <row r="431" customFormat="false" ht="15" hidden="false" customHeight="false" outlineLevel="0" collapsed="false">
      <c r="A431" s="51"/>
      <c r="B431" s="65"/>
      <c r="C431" s="51"/>
      <c r="D431" s="51"/>
      <c r="E431" s="76"/>
      <c r="F431" s="66" t="str">
        <f aca="false">IF(C431="","",IFERROR(1/(1/INDEX(Clients!$H$6:$H$25,MATCH(C431,Clients!$B$6:$B$25,0))),Settings!$C$10))</f>
        <v/>
      </c>
      <c r="G431" s="77" t="str">
        <f aca="false">IF(OR(B431="",F431=""),"",B431+F431)</f>
        <v/>
      </c>
      <c r="H431" s="65"/>
      <c r="I431" s="76"/>
      <c r="J431" s="51"/>
      <c r="K431" s="73" t="str">
        <f aca="false">IF(E431="","",E431-N(I431))</f>
        <v/>
      </c>
      <c r="L431" s="78" t="str">
        <f aca="true">IF(E431="","",IF(K431&lt;=0,"Paid",IF(AND(G431&lt;&gt;"",TODAY()&gt;G431),"Overdue",IF(N(I431)&gt;0,"Partial","Open"))))</f>
        <v/>
      </c>
      <c r="M431" s="66" t="str">
        <f aca="true">IF(OR(E431="",G431=""),"",IF(K431&lt;=0,IF(H431="","",MAX(0,H431-G431)),MAX(0,TODAY()-G431)))</f>
        <v/>
      </c>
      <c r="N431" s="78" t="str">
        <f aca="true">IF(OR(E431="",G431=""),"",IF(K431&lt;=0,"",IF(TODAY()&lt;=G431,"Not due yet",IF(TODAY()-G431&lt;=30,"1-30 days late",IF(TODAY()-G431&lt;=60,"31-60 days late",IF(TODAY()-G431&lt;=90,"61-90 days late","90+ days late"))))))</f>
        <v/>
      </c>
      <c r="O431" s="66" t="str">
        <f aca="false">IF(OR(H431="",B431="",K431&gt;0),"",H431-B431)</f>
        <v/>
      </c>
    </row>
    <row r="432" customFormat="false" ht="15" hidden="false" customHeight="false" outlineLevel="0" collapsed="false">
      <c r="A432" s="51"/>
      <c r="B432" s="65"/>
      <c r="C432" s="51"/>
      <c r="D432" s="51"/>
      <c r="E432" s="76"/>
      <c r="F432" s="66" t="str">
        <f aca="false">IF(C432="","",IFERROR(1/(1/INDEX(Clients!$H$6:$H$25,MATCH(C432,Clients!$B$6:$B$25,0))),Settings!$C$10))</f>
        <v/>
      </c>
      <c r="G432" s="77" t="str">
        <f aca="false">IF(OR(B432="",F432=""),"",B432+F432)</f>
        <v/>
      </c>
      <c r="H432" s="65"/>
      <c r="I432" s="76"/>
      <c r="J432" s="51"/>
      <c r="K432" s="73" t="str">
        <f aca="false">IF(E432="","",E432-N(I432))</f>
        <v/>
      </c>
      <c r="L432" s="78" t="str">
        <f aca="true">IF(E432="","",IF(K432&lt;=0,"Paid",IF(AND(G432&lt;&gt;"",TODAY()&gt;G432),"Overdue",IF(N(I432)&gt;0,"Partial","Open"))))</f>
        <v/>
      </c>
      <c r="M432" s="66" t="str">
        <f aca="true">IF(OR(E432="",G432=""),"",IF(K432&lt;=0,IF(H432="","",MAX(0,H432-G432)),MAX(0,TODAY()-G432)))</f>
        <v/>
      </c>
      <c r="N432" s="78" t="str">
        <f aca="true">IF(OR(E432="",G432=""),"",IF(K432&lt;=0,"",IF(TODAY()&lt;=G432,"Not due yet",IF(TODAY()-G432&lt;=30,"1-30 days late",IF(TODAY()-G432&lt;=60,"31-60 days late",IF(TODAY()-G432&lt;=90,"61-90 days late","90+ days late"))))))</f>
        <v/>
      </c>
      <c r="O432" s="66" t="str">
        <f aca="false">IF(OR(H432="",B432="",K432&gt;0),"",H432-B432)</f>
        <v/>
      </c>
    </row>
    <row r="433" customFormat="false" ht="15" hidden="false" customHeight="false" outlineLevel="0" collapsed="false">
      <c r="A433" s="51"/>
      <c r="B433" s="65"/>
      <c r="C433" s="51"/>
      <c r="D433" s="51"/>
      <c r="E433" s="76"/>
      <c r="F433" s="66" t="str">
        <f aca="false">IF(C433="","",IFERROR(1/(1/INDEX(Clients!$H$6:$H$25,MATCH(C433,Clients!$B$6:$B$25,0))),Settings!$C$10))</f>
        <v/>
      </c>
      <c r="G433" s="77" t="str">
        <f aca="false">IF(OR(B433="",F433=""),"",B433+F433)</f>
        <v/>
      </c>
      <c r="H433" s="65"/>
      <c r="I433" s="76"/>
      <c r="J433" s="51"/>
      <c r="K433" s="73" t="str">
        <f aca="false">IF(E433="","",E433-N(I433))</f>
        <v/>
      </c>
      <c r="L433" s="78" t="str">
        <f aca="true">IF(E433="","",IF(K433&lt;=0,"Paid",IF(AND(G433&lt;&gt;"",TODAY()&gt;G433),"Overdue",IF(N(I433)&gt;0,"Partial","Open"))))</f>
        <v/>
      </c>
      <c r="M433" s="66" t="str">
        <f aca="true">IF(OR(E433="",G433=""),"",IF(K433&lt;=0,IF(H433="","",MAX(0,H433-G433)),MAX(0,TODAY()-G433)))</f>
        <v/>
      </c>
      <c r="N433" s="78" t="str">
        <f aca="true">IF(OR(E433="",G433=""),"",IF(K433&lt;=0,"",IF(TODAY()&lt;=G433,"Not due yet",IF(TODAY()-G433&lt;=30,"1-30 days late",IF(TODAY()-G433&lt;=60,"31-60 days late",IF(TODAY()-G433&lt;=90,"61-90 days late","90+ days late"))))))</f>
        <v/>
      </c>
      <c r="O433" s="66" t="str">
        <f aca="false">IF(OR(H433="",B433="",K433&gt;0),"",H433-B433)</f>
        <v/>
      </c>
    </row>
    <row r="434" customFormat="false" ht="15" hidden="false" customHeight="false" outlineLevel="0" collapsed="false">
      <c r="A434" s="51"/>
      <c r="B434" s="65"/>
      <c r="C434" s="51"/>
      <c r="D434" s="51"/>
      <c r="E434" s="76"/>
      <c r="F434" s="66" t="str">
        <f aca="false">IF(C434="","",IFERROR(1/(1/INDEX(Clients!$H$6:$H$25,MATCH(C434,Clients!$B$6:$B$25,0))),Settings!$C$10))</f>
        <v/>
      </c>
      <c r="G434" s="77" t="str">
        <f aca="false">IF(OR(B434="",F434=""),"",B434+F434)</f>
        <v/>
      </c>
      <c r="H434" s="65"/>
      <c r="I434" s="76"/>
      <c r="J434" s="51"/>
      <c r="K434" s="73" t="str">
        <f aca="false">IF(E434="","",E434-N(I434))</f>
        <v/>
      </c>
      <c r="L434" s="78" t="str">
        <f aca="true">IF(E434="","",IF(K434&lt;=0,"Paid",IF(AND(G434&lt;&gt;"",TODAY()&gt;G434),"Overdue",IF(N(I434)&gt;0,"Partial","Open"))))</f>
        <v/>
      </c>
      <c r="M434" s="66" t="str">
        <f aca="true">IF(OR(E434="",G434=""),"",IF(K434&lt;=0,IF(H434="","",MAX(0,H434-G434)),MAX(0,TODAY()-G434)))</f>
        <v/>
      </c>
      <c r="N434" s="78" t="str">
        <f aca="true">IF(OR(E434="",G434=""),"",IF(K434&lt;=0,"",IF(TODAY()&lt;=G434,"Not due yet",IF(TODAY()-G434&lt;=30,"1-30 days late",IF(TODAY()-G434&lt;=60,"31-60 days late",IF(TODAY()-G434&lt;=90,"61-90 days late","90+ days late"))))))</f>
        <v/>
      </c>
      <c r="O434" s="66" t="str">
        <f aca="false">IF(OR(H434="",B434="",K434&gt;0),"",H434-B434)</f>
        <v/>
      </c>
    </row>
    <row r="435" customFormat="false" ht="15" hidden="false" customHeight="false" outlineLevel="0" collapsed="false">
      <c r="A435" s="51"/>
      <c r="B435" s="65"/>
      <c r="C435" s="51"/>
      <c r="D435" s="51"/>
      <c r="E435" s="76"/>
      <c r="F435" s="66" t="str">
        <f aca="false">IF(C435="","",IFERROR(1/(1/INDEX(Clients!$H$6:$H$25,MATCH(C435,Clients!$B$6:$B$25,0))),Settings!$C$10))</f>
        <v/>
      </c>
      <c r="G435" s="77" t="str">
        <f aca="false">IF(OR(B435="",F435=""),"",B435+F435)</f>
        <v/>
      </c>
      <c r="H435" s="65"/>
      <c r="I435" s="76"/>
      <c r="J435" s="51"/>
      <c r="K435" s="73" t="str">
        <f aca="false">IF(E435="","",E435-N(I435))</f>
        <v/>
      </c>
      <c r="L435" s="78" t="str">
        <f aca="true">IF(E435="","",IF(K435&lt;=0,"Paid",IF(AND(G435&lt;&gt;"",TODAY()&gt;G435),"Overdue",IF(N(I435)&gt;0,"Partial","Open"))))</f>
        <v/>
      </c>
      <c r="M435" s="66" t="str">
        <f aca="true">IF(OR(E435="",G435=""),"",IF(K435&lt;=0,IF(H435="","",MAX(0,H435-G435)),MAX(0,TODAY()-G435)))</f>
        <v/>
      </c>
      <c r="N435" s="78" t="str">
        <f aca="true">IF(OR(E435="",G435=""),"",IF(K435&lt;=0,"",IF(TODAY()&lt;=G435,"Not due yet",IF(TODAY()-G435&lt;=30,"1-30 days late",IF(TODAY()-G435&lt;=60,"31-60 days late",IF(TODAY()-G435&lt;=90,"61-90 days late","90+ days late"))))))</f>
        <v/>
      </c>
      <c r="O435" s="66" t="str">
        <f aca="false">IF(OR(H435="",B435="",K435&gt;0),"",H435-B435)</f>
        <v/>
      </c>
    </row>
    <row r="436" customFormat="false" ht="15" hidden="false" customHeight="false" outlineLevel="0" collapsed="false">
      <c r="A436" s="51"/>
      <c r="B436" s="65"/>
      <c r="C436" s="51"/>
      <c r="D436" s="51"/>
      <c r="E436" s="76"/>
      <c r="F436" s="66" t="str">
        <f aca="false">IF(C436="","",IFERROR(1/(1/INDEX(Clients!$H$6:$H$25,MATCH(C436,Clients!$B$6:$B$25,0))),Settings!$C$10))</f>
        <v/>
      </c>
      <c r="G436" s="77" t="str">
        <f aca="false">IF(OR(B436="",F436=""),"",B436+F436)</f>
        <v/>
      </c>
      <c r="H436" s="65"/>
      <c r="I436" s="76"/>
      <c r="J436" s="51"/>
      <c r="K436" s="73" t="str">
        <f aca="false">IF(E436="","",E436-N(I436))</f>
        <v/>
      </c>
      <c r="L436" s="78" t="str">
        <f aca="true">IF(E436="","",IF(K436&lt;=0,"Paid",IF(AND(G436&lt;&gt;"",TODAY()&gt;G436),"Overdue",IF(N(I436)&gt;0,"Partial","Open"))))</f>
        <v/>
      </c>
      <c r="M436" s="66" t="str">
        <f aca="true">IF(OR(E436="",G436=""),"",IF(K436&lt;=0,IF(H436="","",MAX(0,H436-G436)),MAX(0,TODAY()-G436)))</f>
        <v/>
      </c>
      <c r="N436" s="78" t="str">
        <f aca="true">IF(OR(E436="",G436=""),"",IF(K436&lt;=0,"",IF(TODAY()&lt;=G436,"Not due yet",IF(TODAY()-G436&lt;=30,"1-30 days late",IF(TODAY()-G436&lt;=60,"31-60 days late",IF(TODAY()-G436&lt;=90,"61-90 days late","90+ days late"))))))</f>
        <v/>
      </c>
      <c r="O436" s="66" t="str">
        <f aca="false">IF(OR(H436="",B436="",K436&gt;0),"",H436-B436)</f>
        <v/>
      </c>
    </row>
    <row r="437" customFormat="false" ht="15" hidden="false" customHeight="false" outlineLevel="0" collapsed="false">
      <c r="A437" s="51"/>
      <c r="B437" s="65"/>
      <c r="C437" s="51"/>
      <c r="D437" s="51"/>
      <c r="E437" s="76"/>
      <c r="F437" s="66" t="str">
        <f aca="false">IF(C437="","",IFERROR(1/(1/INDEX(Clients!$H$6:$H$25,MATCH(C437,Clients!$B$6:$B$25,0))),Settings!$C$10))</f>
        <v/>
      </c>
      <c r="G437" s="77" t="str">
        <f aca="false">IF(OR(B437="",F437=""),"",B437+F437)</f>
        <v/>
      </c>
      <c r="H437" s="65"/>
      <c r="I437" s="76"/>
      <c r="J437" s="51"/>
      <c r="K437" s="73" t="str">
        <f aca="false">IF(E437="","",E437-N(I437))</f>
        <v/>
      </c>
      <c r="L437" s="78" t="str">
        <f aca="true">IF(E437="","",IF(K437&lt;=0,"Paid",IF(AND(G437&lt;&gt;"",TODAY()&gt;G437),"Overdue",IF(N(I437)&gt;0,"Partial","Open"))))</f>
        <v/>
      </c>
      <c r="M437" s="66" t="str">
        <f aca="true">IF(OR(E437="",G437=""),"",IF(K437&lt;=0,IF(H437="","",MAX(0,H437-G437)),MAX(0,TODAY()-G437)))</f>
        <v/>
      </c>
      <c r="N437" s="78" t="str">
        <f aca="true">IF(OR(E437="",G437=""),"",IF(K437&lt;=0,"",IF(TODAY()&lt;=G437,"Not due yet",IF(TODAY()-G437&lt;=30,"1-30 days late",IF(TODAY()-G437&lt;=60,"31-60 days late",IF(TODAY()-G437&lt;=90,"61-90 days late","90+ days late"))))))</f>
        <v/>
      </c>
      <c r="O437" s="66" t="str">
        <f aca="false">IF(OR(H437="",B437="",K437&gt;0),"",H437-B437)</f>
        <v/>
      </c>
    </row>
    <row r="438" customFormat="false" ht="15" hidden="false" customHeight="false" outlineLevel="0" collapsed="false">
      <c r="A438" s="51"/>
      <c r="B438" s="65"/>
      <c r="C438" s="51"/>
      <c r="D438" s="51"/>
      <c r="E438" s="76"/>
      <c r="F438" s="66" t="str">
        <f aca="false">IF(C438="","",IFERROR(1/(1/INDEX(Clients!$H$6:$H$25,MATCH(C438,Clients!$B$6:$B$25,0))),Settings!$C$10))</f>
        <v/>
      </c>
      <c r="G438" s="77" t="str">
        <f aca="false">IF(OR(B438="",F438=""),"",B438+F438)</f>
        <v/>
      </c>
      <c r="H438" s="65"/>
      <c r="I438" s="76"/>
      <c r="J438" s="51"/>
      <c r="K438" s="73" t="str">
        <f aca="false">IF(E438="","",E438-N(I438))</f>
        <v/>
      </c>
      <c r="L438" s="78" t="str">
        <f aca="true">IF(E438="","",IF(K438&lt;=0,"Paid",IF(AND(G438&lt;&gt;"",TODAY()&gt;G438),"Overdue",IF(N(I438)&gt;0,"Partial","Open"))))</f>
        <v/>
      </c>
      <c r="M438" s="66" t="str">
        <f aca="true">IF(OR(E438="",G438=""),"",IF(K438&lt;=0,IF(H438="","",MAX(0,H438-G438)),MAX(0,TODAY()-G438)))</f>
        <v/>
      </c>
      <c r="N438" s="78" t="str">
        <f aca="true">IF(OR(E438="",G438=""),"",IF(K438&lt;=0,"",IF(TODAY()&lt;=G438,"Not due yet",IF(TODAY()-G438&lt;=30,"1-30 days late",IF(TODAY()-G438&lt;=60,"31-60 days late",IF(TODAY()-G438&lt;=90,"61-90 days late","90+ days late"))))))</f>
        <v/>
      </c>
      <c r="O438" s="66" t="str">
        <f aca="false">IF(OR(H438="",B438="",K438&gt;0),"",H438-B438)</f>
        <v/>
      </c>
    </row>
    <row r="439" customFormat="false" ht="15" hidden="false" customHeight="false" outlineLevel="0" collapsed="false">
      <c r="A439" s="51"/>
      <c r="B439" s="65"/>
      <c r="C439" s="51"/>
      <c r="D439" s="51"/>
      <c r="E439" s="76"/>
      <c r="F439" s="66" t="str">
        <f aca="false">IF(C439="","",IFERROR(1/(1/INDEX(Clients!$H$6:$H$25,MATCH(C439,Clients!$B$6:$B$25,0))),Settings!$C$10))</f>
        <v/>
      </c>
      <c r="G439" s="77" t="str">
        <f aca="false">IF(OR(B439="",F439=""),"",B439+F439)</f>
        <v/>
      </c>
      <c r="H439" s="65"/>
      <c r="I439" s="76"/>
      <c r="J439" s="51"/>
      <c r="K439" s="73" t="str">
        <f aca="false">IF(E439="","",E439-N(I439))</f>
        <v/>
      </c>
      <c r="L439" s="78" t="str">
        <f aca="true">IF(E439="","",IF(K439&lt;=0,"Paid",IF(AND(G439&lt;&gt;"",TODAY()&gt;G439),"Overdue",IF(N(I439)&gt;0,"Partial","Open"))))</f>
        <v/>
      </c>
      <c r="M439" s="66" t="str">
        <f aca="true">IF(OR(E439="",G439=""),"",IF(K439&lt;=0,IF(H439="","",MAX(0,H439-G439)),MAX(0,TODAY()-G439)))</f>
        <v/>
      </c>
      <c r="N439" s="78" t="str">
        <f aca="true">IF(OR(E439="",G439=""),"",IF(K439&lt;=0,"",IF(TODAY()&lt;=G439,"Not due yet",IF(TODAY()-G439&lt;=30,"1-30 days late",IF(TODAY()-G439&lt;=60,"31-60 days late",IF(TODAY()-G439&lt;=90,"61-90 days late","90+ days late"))))))</f>
        <v/>
      </c>
      <c r="O439" s="66" t="str">
        <f aca="false">IF(OR(H439="",B439="",K439&gt;0),"",H439-B439)</f>
        <v/>
      </c>
    </row>
    <row r="440" customFormat="false" ht="15" hidden="false" customHeight="false" outlineLevel="0" collapsed="false">
      <c r="A440" s="51"/>
      <c r="B440" s="65"/>
      <c r="C440" s="51"/>
      <c r="D440" s="51"/>
      <c r="E440" s="76"/>
      <c r="F440" s="66" t="str">
        <f aca="false">IF(C440="","",IFERROR(1/(1/INDEX(Clients!$H$6:$H$25,MATCH(C440,Clients!$B$6:$B$25,0))),Settings!$C$10))</f>
        <v/>
      </c>
      <c r="G440" s="77" t="str">
        <f aca="false">IF(OR(B440="",F440=""),"",B440+F440)</f>
        <v/>
      </c>
      <c r="H440" s="65"/>
      <c r="I440" s="76"/>
      <c r="J440" s="51"/>
      <c r="K440" s="73" t="str">
        <f aca="false">IF(E440="","",E440-N(I440))</f>
        <v/>
      </c>
      <c r="L440" s="78" t="str">
        <f aca="true">IF(E440="","",IF(K440&lt;=0,"Paid",IF(AND(G440&lt;&gt;"",TODAY()&gt;G440),"Overdue",IF(N(I440)&gt;0,"Partial","Open"))))</f>
        <v/>
      </c>
      <c r="M440" s="66" t="str">
        <f aca="true">IF(OR(E440="",G440=""),"",IF(K440&lt;=0,IF(H440="","",MAX(0,H440-G440)),MAX(0,TODAY()-G440)))</f>
        <v/>
      </c>
      <c r="N440" s="78" t="str">
        <f aca="true">IF(OR(E440="",G440=""),"",IF(K440&lt;=0,"",IF(TODAY()&lt;=G440,"Not due yet",IF(TODAY()-G440&lt;=30,"1-30 days late",IF(TODAY()-G440&lt;=60,"31-60 days late",IF(TODAY()-G440&lt;=90,"61-90 days late","90+ days late"))))))</f>
        <v/>
      </c>
      <c r="O440" s="66" t="str">
        <f aca="false">IF(OR(H440="",B440="",K440&gt;0),"",H440-B440)</f>
        <v/>
      </c>
    </row>
    <row r="441" customFormat="false" ht="15" hidden="false" customHeight="false" outlineLevel="0" collapsed="false">
      <c r="A441" s="51"/>
      <c r="B441" s="65"/>
      <c r="C441" s="51"/>
      <c r="D441" s="51"/>
      <c r="E441" s="76"/>
      <c r="F441" s="66" t="str">
        <f aca="false">IF(C441="","",IFERROR(1/(1/INDEX(Clients!$H$6:$H$25,MATCH(C441,Clients!$B$6:$B$25,0))),Settings!$C$10))</f>
        <v/>
      </c>
      <c r="G441" s="77" t="str">
        <f aca="false">IF(OR(B441="",F441=""),"",B441+F441)</f>
        <v/>
      </c>
      <c r="H441" s="65"/>
      <c r="I441" s="76"/>
      <c r="J441" s="51"/>
      <c r="K441" s="73" t="str">
        <f aca="false">IF(E441="","",E441-N(I441))</f>
        <v/>
      </c>
      <c r="L441" s="78" t="str">
        <f aca="true">IF(E441="","",IF(K441&lt;=0,"Paid",IF(AND(G441&lt;&gt;"",TODAY()&gt;G441),"Overdue",IF(N(I441)&gt;0,"Partial","Open"))))</f>
        <v/>
      </c>
      <c r="M441" s="66" t="str">
        <f aca="true">IF(OR(E441="",G441=""),"",IF(K441&lt;=0,IF(H441="","",MAX(0,H441-G441)),MAX(0,TODAY()-G441)))</f>
        <v/>
      </c>
      <c r="N441" s="78" t="str">
        <f aca="true">IF(OR(E441="",G441=""),"",IF(K441&lt;=0,"",IF(TODAY()&lt;=G441,"Not due yet",IF(TODAY()-G441&lt;=30,"1-30 days late",IF(TODAY()-G441&lt;=60,"31-60 days late",IF(TODAY()-G441&lt;=90,"61-90 days late","90+ days late"))))))</f>
        <v/>
      </c>
      <c r="O441" s="66" t="str">
        <f aca="false">IF(OR(H441="",B441="",K441&gt;0),"",H441-B441)</f>
        <v/>
      </c>
    </row>
    <row r="442" customFormat="false" ht="15" hidden="false" customHeight="false" outlineLevel="0" collapsed="false">
      <c r="A442" s="51"/>
      <c r="B442" s="65"/>
      <c r="C442" s="51"/>
      <c r="D442" s="51"/>
      <c r="E442" s="76"/>
      <c r="F442" s="66" t="str">
        <f aca="false">IF(C442="","",IFERROR(1/(1/INDEX(Clients!$H$6:$H$25,MATCH(C442,Clients!$B$6:$B$25,0))),Settings!$C$10))</f>
        <v/>
      </c>
      <c r="G442" s="77" t="str">
        <f aca="false">IF(OR(B442="",F442=""),"",B442+F442)</f>
        <v/>
      </c>
      <c r="H442" s="65"/>
      <c r="I442" s="76"/>
      <c r="J442" s="51"/>
      <c r="K442" s="73" t="str">
        <f aca="false">IF(E442="","",E442-N(I442))</f>
        <v/>
      </c>
      <c r="L442" s="78" t="str">
        <f aca="true">IF(E442="","",IF(K442&lt;=0,"Paid",IF(AND(G442&lt;&gt;"",TODAY()&gt;G442),"Overdue",IF(N(I442)&gt;0,"Partial","Open"))))</f>
        <v/>
      </c>
      <c r="M442" s="66" t="str">
        <f aca="true">IF(OR(E442="",G442=""),"",IF(K442&lt;=0,IF(H442="","",MAX(0,H442-G442)),MAX(0,TODAY()-G442)))</f>
        <v/>
      </c>
      <c r="N442" s="78" t="str">
        <f aca="true">IF(OR(E442="",G442=""),"",IF(K442&lt;=0,"",IF(TODAY()&lt;=G442,"Not due yet",IF(TODAY()-G442&lt;=30,"1-30 days late",IF(TODAY()-G442&lt;=60,"31-60 days late",IF(TODAY()-G442&lt;=90,"61-90 days late","90+ days late"))))))</f>
        <v/>
      </c>
      <c r="O442" s="66" t="str">
        <f aca="false">IF(OR(H442="",B442="",K442&gt;0),"",H442-B442)</f>
        <v/>
      </c>
    </row>
    <row r="443" customFormat="false" ht="15" hidden="false" customHeight="false" outlineLevel="0" collapsed="false">
      <c r="A443" s="51"/>
      <c r="B443" s="65"/>
      <c r="C443" s="51"/>
      <c r="D443" s="51"/>
      <c r="E443" s="76"/>
      <c r="F443" s="66" t="str">
        <f aca="false">IF(C443="","",IFERROR(1/(1/INDEX(Clients!$H$6:$H$25,MATCH(C443,Clients!$B$6:$B$25,0))),Settings!$C$10))</f>
        <v/>
      </c>
      <c r="G443" s="77" t="str">
        <f aca="false">IF(OR(B443="",F443=""),"",B443+F443)</f>
        <v/>
      </c>
      <c r="H443" s="65"/>
      <c r="I443" s="76"/>
      <c r="J443" s="51"/>
      <c r="K443" s="73" t="str">
        <f aca="false">IF(E443="","",E443-N(I443))</f>
        <v/>
      </c>
      <c r="L443" s="78" t="str">
        <f aca="true">IF(E443="","",IF(K443&lt;=0,"Paid",IF(AND(G443&lt;&gt;"",TODAY()&gt;G443),"Overdue",IF(N(I443)&gt;0,"Partial","Open"))))</f>
        <v/>
      </c>
      <c r="M443" s="66" t="str">
        <f aca="true">IF(OR(E443="",G443=""),"",IF(K443&lt;=0,IF(H443="","",MAX(0,H443-G443)),MAX(0,TODAY()-G443)))</f>
        <v/>
      </c>
      <c r="N443" s="78" t="str">
        <f aca="true">IF(OR(E443="",G443=""),"",IF(K443&lt;=0,"",IF(TODAY()&lt;=G443,"Not due yet",IF(TODAY()-G443&lt;=30,"1-30 days late",IF(TODAY()-G443&lt;=60,"31-60 days late",IF(TODAY()-G443&lt;=90,"61-90 days late","90+ days late"))))))</f>
        <v/>
      </c>
      <c r="O443" s="66" t="str">
        <f aca="false">IF(OR(H443="",B443="",K443&gt;0),"",H443-B443)</f>
        <v/>
      </c>
    </row>
    <row r="444" customFormat="false" ht="15" hidden="false" customHeight="false" outlineLevel="0" collapsed="false">
      <c r="A444" s="51"/>
      <c r="B444" s="65"/>
      <c r="C444" s="51"/>
      <c r="D444" s="51"/>
      <c r="E444" s="76"/>
      <c r="F444" s="66" t="str">
        <f aca="false">IF(C444="","",IFERROR(1/(1/INDEX(Clients!$H$6:$H$25,MATCH(C444,Clients!$B$6:$B$25,0))),Settings!$C$10))</f>
        <v/>
      </c>
      <c r="G444" s="77" t="str">
        <f aca="false">IF(OR(B444="",F444=""),"",B444+F444)</f>
        <v/>
      </c>
      <c r="H444" s="65"/>
      <c r="I444" s="76"/>
      <c r="J444" s="51"/>
      <c r="K444" s="73" t="str">
        <f aca="false">IF(E444="","",E444-N(I444))</f>
        <v/>
      </c>
      <c r="L444" s="78" t="str">
        <f aca="true">IF(E444="","",IF(K444&lt;=0,"Paid",IF(AND(G444&lt;&gt;"",TODAY()&gt;G444),"Overdue",IF(N(I444)&gt;0,"Partial","Open"))))</f>
        <v/>
      </c>
      <c r="M444" s="66" t="str">
        <f aca="true">IF(OR(E444="",G444=""),"",IF(K444&lt;=0,IF(H444="","",MAX(0,H444-G444)),MAX(0,TODAY()-G444)))</f>
        <v/>
      </c>
      <c r="N444" s="78" t="str">
        <f aca="true">IF(OR(E444="",G444=""),"",IF(K444&lt;=0,"",IF(TODAY()&lt;=G444,"Not due yet",IF(TODAY()-G444&lt;=30,"1-30 days late",IF(TODAY()-G444&lt;=60,"31-60 days late",IF(TODAY()-G444&lt;=90,"61-90 days late","90+ days late"))))))</f>
        <v/>
      </c>
      <c r="O444" s="66" t="str">
        <f aca="false">IF(OR(H444="",B444="",K444&gt;0),"",H444-B444)</f>
        <v/>
      </c>
    </row>
    <row r="445" customFormat="false" ht="15" hidden="false" customHeight="false" outlineLevel="0" collapsed="false">
      <c r="A445" s="51"/>
      <c r="B445" s="65"/>
      <c r="C445" s="51"/>
      <c r="D445" s="51"/>
      <c r="E445" s="76"/>
      <c r="F445" s="66" t="str">
        <f aca="false">IF(C445="","",IFERROR(1/(1/INDEX(Clients!$H$6:$H$25,MATCH(C445,Clients!$B$6:$B$25,0))),Settings!$C$10))</f>
        <v/>
      </c>
      <c r="G445" s="77" t="str">
        <f aca="false">IF(OR(B445="",F445=""),"",B445+F445)</f>
        <v/>
      </c>
      <c r="H445" s="65"/>
      <c r="I445" s="76"/>
      <c r="J445" s="51"/>
      <c r="K445" s="73" t="str">
        <f aca="false">IF(E445="","",E445-N(I445))</f>
        <v/>
      </c>
      <c r="L445" s="78" t="str">
        <f aca="true">IF(E445="","",IF(K445&lt;=0,"Paid",IF(AND(G445&lt;&gt;"",TODAY()&gt;G445),"Overdue",IF(N(I445)&gt;0,"Partial","Open"))))</f>
        <v/>
      </c>
      <c r="M445" s="66" t="str">
        <f aca="true">IF(OR(E445="",G445=""),"",IF(K445&lt;=0,IF(H445="","",MAX(0,H445-G445)),MAX(0,TODAY()-G445)))</f>
        <v/>
      </c>
      <c r="N445" s="78" t="str">
        <f aca="true">IF(OR(E445="",G445=""),"",IF(K445&lt;=0,"",IF(TODAY()&lt;=G445,"Not due yet",IF(TODAY()-G445&lt;=30,"1-30 days late",IF(TODAY()-G445&lt;=60,"31-60 days late",IF(TODAY()-G445&lt;=90,"61-90 days late","90+ days late"))))))</f>
        <v/>
      </c>
      <c r="O445" s="66" t="str">
        <f aca="false">IF(OR(H445="",B445="",K445&gt;0),"",H445-B445)</f>
        <v/>
      </c>
    </row>
    <row r="446" customFormat="false" ht="15" hidden="false" customHeight="false" outlineLevel="0" collapsed="false">
      <c r="A446" s="51"/>
      <c r="B446" s="65"/>
      <c r="C446" s="51"/>
      <c r="D446" s="51"/>
      <c r="E446" s="76"/>
      <c r="F446" s="66" t="str">
        <f aca="false">IF(C446="","",IFERROR(1/(1/INDEX(Clients!$H$6:$H$25,MATCH(C446,Clients!$B$6:$B$25,0))),Settings!$C$10))</f>
        <v/>
      </c>
      <c r="G446" s="77" t="str">
        <f aca="false">IF(OR(B446="",F446=""),"",B446+F446)</f>
        <v/>
      </c>
      <c r="H446" s="65"/>
      <c r="I446" s="76"/>
      <c r="J446" s="51"/>
      <c r="K446" s="73" t="str">
        <f aca="false">IF(E446="","",E446-N(I446))</f>
        <v/>
      </c>
      <c r="L446" s="78" t="str">
        <f aca="true">IF(E446="","",IF(K446&lt;=0,"Paid",IF(AND(G446&lt;&gt;"",TODAY()&gt;G446),"Overdue",IF(N(I446)&gt;0,"Partial","Open"))))</f>
        <v/>
      </c>
      <c r="M446" s="66" t="str">
        <f aca="true">IF(OR(E446="",G446=""),"",IF(K446&lt;=0,IF(H446="","",MAX(0,H446-G446)),MAX(0,TODAY()-G446)))</f>
        <v/>
      </c>
      <c r="N446" s="78" t="str">
        <f aca="true">IF(OR(E446="",G446=""),"",IF(K446&lt;=0,"",IF(TODAY()&lt;=G446,"Not due yet",IF(TODAY()-G446&lt;=30,"1-30 days late",IF(TODAY()-G446&lt;=60,"31-60 days late",IF(TODAY()-G446&lt;=90,"61-90 days late","90+ days late"))))))</f>
        <v/>
      </c>
      <c r="O446" s="66" t="str">
        <f aca="false">IF(OR(H446="",B446="",K446&gt;0),"",H446-B446)</f>
        <v/>
      </c>
    </row>
    <row r="447" customFormat="false" ht="15" hidden="false" customHeight="false" outlineLevel="0" collapsed="false">
      <c r="A447" s="51"/>
      <c r="B447" s="65"/>
      <c r="C447" s="51"/>
      <c r="D447" s="51"/>
      <c r="E447" s="76"/>
      <c r="F447" s="66" t="str">
        <f aca="false">IF(C447="","",IFERROR(1/(1/INDEX(Clients!$H$6:$H$25,MATCH(C447,Clients!$B$6:$B$25,0))),Settings!$C$10))</f>
        <v/>
      </c>
      <c r="G447" s="77" t="str">
        <f aca="false">IF(OR(B447="",F447=""),"",B447+F447)</f>
        <v/>
      </c>
      <c r="H447" s="65"/>
      <c r="I447" s="76"/>
      <c r="J447" s="51"/>
      <c r="K447" s="73" t="str">
        <f aca="false">IF(E447="","",E447-N(I447))</f>
        <v/>
      </c>
      <c r="L447" s="78" t="str">
        <f aca="true">IF(E447="","",IF(K447&lt;=0,"Paid",IF(AND(G447&lt;&gt;"",TODAY()&gt;G447),"Overdue",IF(N(I447)&gt;0,"Partial","Open"))))</f>
        <v/>
      </c>
      <c r="M447" s="66" t="str">
        <f aca="true">IF(OR(E447="",G447=""),"",IF(K447&lt;=0,IF(H447="","",MAX(0,H447-G447)),MAX(0,TODAY()-G447)))</f>
        <v/>
      </c>
      <c r="N447" s="78" t="str">
        <f aca="true">IF(OR(E447="",G447=""),"",IF(K447&lt;=0,"",IF(TODAY()&lt;=G447,"Not due yet",IF(TODAY()-G447&lt;=30,"1-30 days late",IF(TODAY()-G447&lt;=60,"31-60 days late",IF(TODAY()-G447&lt;=90,"61-90 days late","90+ days late"))))))</f>
        <v/>
      </c>
      <c r="O447" s="66" t="str">
        <f aca="false">IF(OR(H447="",B447="",K447&gt;0),"",H447-B447)</f>
        <v/>
      </c>
    </row>
    <row r="448" customFormat="false" ht="15" hidden="false" customHeight="false" outlineLevel="0" collapsed="false">
      <c r="A448" s="51"/>
      <c r="B448" s="65"/>
      <c r="C448" s="51"/>
      <c r="D448" s="51"/>
      <c r="E448" s="76"/>
      <c r="F448" s="66" t="str">
        <f aca="false">IF(C448="","",IFERROR(1/(1/INDEX(Clients!$H$6:$H$25,MATCH(C448,Clients!$B$6:$B$25,0))),Settings!$C$10))</f>
        <v/>
      </c>
      <c r="G448" s="77" t="str">
        <f aca="false">IF(OR(B448="",F448=""),"",B448+F448)</f>
        <v/>
      </c>
      <c r="H448" s="65"/>
      <c r="I448" s="76"/>
      <c r="J448" s="51"/>
      <c r="K448" s="73" t="str">
        <f aca="false">IF(E448="","",E448-N(I448))</f>
        <v/>
      </c>
      <c r="L448" s="78" t="str">
        <f aca="true">IF(E448="","",IF(K448&lt;=0,"Paid",IF(AND(G448&lt;&gt;"",TODAY()&gt;G448),"Overdue",IF(N(I448)&gt;0,"Partial","Open"))))</f>
        <v/>
      </c>
      <c r="M448" s="66" t="str">
        <f aca="true">IF(OR(E448="",G448=""),"",IF(K448&lt;=0,IF(H448="","",MAX(0,H448-G448)),MAX(0,TODAY()-G448)))</f>
        <v/>
      </c>
      <c r="N448" s="78" t="str">
        <f aca="true">IF(OR(E448="",G448=""),"",IF(K448&lt;=0,"",IF(TODAY()&lt;=G448,"Not due yet",IF(TODAY()-G448&lt;=30,"1-30 days late",IF(TODAY()-G448&lt;=60,"31-60 days late",IF(TODAY()-G448&lt;=90,"61-90 days late","90+ days late"))))))</f>
        <v/>
      </c>
      <c r="O448" s="66" t="str">
        <f aca="false">IF(OR(H448="",B448="",K448&gt;0),"",H448-B448)</f>
        <v/>
      </c>
    </row>
    <row r="449" customFormat="false" ht="15" hidden="false" customHeight="false" outlineLevel="0" collapsed="false">
      <c r="A449" s="51"/>
      <c r="B449" s="65"/>
      <c r="C449" s="51"/>
      <c r="D449" s="51"/>
      <c r="E449" s="76"/>
      <c r="F449" s="66" t="str">
        <f aca="false">IF(C449="","",IFERROR(1/(1/INDEX(Clients!$H$6:$H$25,MATCH(C449,Clients!$B$6:$B$25,0))),Settings!$C$10))</f>
        <v/>
      </c>
      <c r="G449" s="77" t="str">
        <f aca="false">IF(OR(B449="",F449=""),"",B449+F449)</f>
        <v/>
      </c>
      <c r="H449" s="65"/>
      <c r="I449" s="76"/>
      <c r="J449" s="51"/>
      <c r="K449" s="73" t="str">
        <f aca="false">IF(E449="","",E449-N(I449))</f>
        <v/>
      </c>
      <c r="L449" s="78" t="str">
        <f aca="true">IF(E449="","",IF(K449&lt;=0,"Paid",IF(AND(G449&lt;&gt;"",TODAY()&gt;G449),"Overdue",IF(N(I449)&gt;0,"Partial","Open"))))</f>
        <v/>
      </c>
      <c r="M449" s="66" t="str">
        <f aca="true">IF(OR(E449="",G449=""),"",IF(K449&lt;=0,IF(H449="","",MAX(0,H449-G449)),MAX(0,TODAY()-G449)))</f>
        <v/>
      </c>
      <c r="N449" s="78" t="str">
        <f aca="true">IF(OR(E449="",G449=""),"",IF(K449&lt;=0,"",IF(TODAY()&lt;=G449,"Not due yet",IF(TODAY()-G449&lt;=30,"1-30 days late",IF(TODAY()-G449&lt;=60,"31-60 days late",IF(TODAY()-G449&lt;=90,"61-90 days late","90+ days late"))))))</f>
        <v/>
      </c>
      <c r="O449" s="66" t="str">
        <f aca="false">IF(OR(H449="",B449="",K449&gt;0),"",H449-B449)</f>
        <v/>
      </c>
    </row>
    <row r="450" customFormat="false" ht="15" hidden="false" customHeight="false" outlineLevel="0" collapsed="false">
      <c r="A450" s="51"/>
      <c r="B450" s="65"/>
      <c r="C450" s="51"/>
      <c r="D450" s="51"/>
      <c r="E450" s="76"/>
      <c r="F450" s="66" t="str">
        <f aca="false">IF(C450="","",IFERROR(1/(1/INDEX(Clients!$H$6:$H$25,MATCH(C450,Clients!$B$6:$B$25,0))),Settings!$C$10))</f>
        <v/>
      </c>
      <c r="G450" s="77" t="str">
        <f aca="false">IF(OR(B450="",F450=""),"",B450+F450)</f>
        <v/>
      </c>
      <c r="H450" s="65"/>
      <c r="I450" s="76"/>
      <c r="J450" s="51"/>
      <c r="K450" s="73" t="str">
        <f aca="false">IF(E450="","",E450-N(I450))</f>
        <v/>
      </c>
      <c r="L450" s="78" t="str">
        <f aca="true">IF(E450="","",IF(K450&lt;=0,"Paid",IF(AND(G450&lt;&gt;"",TODAY()&gt;G450),"Overdue",IF(N(I450)&gt;0,"Partial","Open"))))</f>
        <v/>
      </c>
      <c r="M450" s="66" t="str">
        <f aca="true">IF(OR(E450="",G450=""),"",IF(K450&lt;=0,IF(H450="","",MAX(0,H450-G450)),MAX(0,TODAY()-G450)))</f>
        <v/>
      </c>
      <c r="N450" s="78" t="str">
        <f aca="true">IF(OR(E450="",G450=""),"",IF(K450&lt;=0,"",IF(TODAY()&lt;=G450,"Not due yet",IF(TODAY()-G450&lt;=30,"1-30 days late",IF(TODAY()-G450&lt;=60,"31-60 days late",IF(TODAY()-G450&lt;=90,"61-90 days late","90+ days late"))))))</f>
        <v/>
      </c>
      <c r="O450" s="66" t="str">
        <f aca="false">IF(OR(H450="",B450="",K450&gt;0),"",H450-B450)</f>
        <v/>
      </c>
    </row>
    <row r="451" customFormat="false" ht="15" hidden="false" customHeight="false" outlineLevel="0" collapsed="false">
      <c r="A451" s="51"/>
      <c r="B451" s="65"/>
      <c r="C451" s="51"/>
      <c r="D451" s="51"/>
      <c r="E451" s="76"/>
      <c r="F451" s="66" t="str">
        <f aca="false">IF(C451="","",IFERROR(1/(1/INDEX(Clients!$H$6:$H$25,MATCH(C451,Clients!$B$6:$B$25,0))),Settings!$C$10))</f>
        <v/>
      </c>
      <c r="G451" s="77" t="str">
        <f aca="false">IF(OR(B451="",F451=""),"",B451+F451)</f>
        <v/>
      </c>
      <c r="H451" s="65"/>
      <c r="I451" s="76"/>
      <c r="J451" s="51"/>
      <c r="K451" s="73" t="str">
        <f aca="false">IF(E451="","",E451-N(I451))</f>
        <v/>
      </c>
      <c r="L451" s="78" t="str">
        <f aca="true">IF(E451="","",IF(K451&lt;=0,"Paid",IF(AND(G451&lt;&gt;"",TODAY()&gt;G451),"Overdue",IF(N(I451)&gt;0,"Partial","Open"))))</f>
        <v/>
      </c>
      <c r="M451" s="66" t="str">
        <f aca="true">IF(OR(E451="",G451=""),"",IF(K451&lt;=0,IF(H451="","",MAX(0,H451-G451)),MAX(0,TODAY()-G451)))</f>
        <v/>
      </c>
      <c r="N451" s="78" t="str">
        <f aca="true">IF(OR(E451="",G451=""),"",IF(K451&lt;=0,"",IF(TODAY()&lt;=G451,"Not due yet",IF(TODAY()-G451&lt;=30,"1-30 days late",IF(TODAY()-G451&lt;=60,"31-60 days late",IF(TODAY()-G451&lt;=90,"61-90 days late","90+ days late"))))))</f>
        <v/>
      </c>
      <c r="O451" s="66" t="str">
        <f aca="false">IF(OR(H451="",B451="",K451&gt;0),"",H451-B451)</f>
        <v/>
      </c>
    </row>
    <row r="452" customFormat="false" ht="15" hidden="false" customHeight="false" outlineLevel="0" collapsed="false">
      <c r="A452" s="51"/>
      <c r="B452" s="65"/>
      <c r="C452" s="51"/>
      <c r="D452" s="51"/>
      <c r="E452" s="76"/>
      <c r="F452" s="66" t="str">
        <f aca="false">IF(C452="","",IFERROR(1/(1/INDEX(Clients!$H$6:$H$25,MATCH(C452,Clients!$B$6:$B$25,0))),Settings!$C$10))</f>
        <v/>
      </c>
      <c r="G452" s="77" t="str">
        <f aca="false">IF(OR(B452="",F452=""),"",B452+F452)</f>
        <v/>
      </c>
      <c r="H452" s="65"/>
      <c r="I452" s="76"/>
      <c r="J452" s="51"/>
      <c r="K452" s="73" t="str">
        <f aca="false">IF(E452="","",E452-N(I452))</f>
        <v/>
      </c>
      <c r="L452" s="78" t="str">
        <f aca="true">IF(E452="","",IF(K452&lt;=0,"Paid",IF(AND(G452&lt;&gt;"",TODAY()&gt;G452),"Overdue",IF(N(I452)&gt;0,"Partial","Open"))))</f>
        <v/>
      </c>
      <c r="M452" s="66" t="str">
        <f aca="true">IF(OR(E452="",G452=""),"",IF(K452&lt;=0,IF(H452="","",MAX(0,H452-G452)),MAX(0,TODAY()-G452)))</f>
        <v/>
      </c>
      <c r="N452" s="78" t="str">
        <f aca="true">IF(OR(E452="",G452=""),"",IF(K452&lt;=0,"",IF(TODAY()&lt;=G452,"Not due yet",IF(TODAY()-G452&lt;=30,"1-30 days late",IF(TODAY()-G452&lt;=60,"31-60 days late",IF(TODAY()-G452&lt;=90,"61-90 days late","90+ days late"))))))</f>
        <v/>
      </c>
      <c r="O452" s="66" t="str">
        <f aca="false">IF(OR(H452="",B452="",K452&gt;0),"",H452-B452)</f>
        <v/>
      </c>
    </row>
    <row r="453" customFormat="false" ht="15" hidden="false" customHeight="false" outlineLevel="0" collapsed="false">
      <c r="A453" s="51"/>
      <c r="B453" s="65"/>
      <c r="C453" s="51"/>
      <c r="D453" s="51"/>
      <c r="E453" s="76"/>
      <c r="F453" s="66" t="str">
        <f aca="false">IF(C453="","",IFERROR(1/(1/INDEX(Clients!$H$6:$H$25,MATCH(C453,Clients!$B$6:$B$25,0))),Settings!$C$10))</f>
        <v/>
      </c>
      <c r="G453" s="77" t="str">
        <f aca="false">IF(OR(B453="",F453=""),"",B453+F453)</f>
        <v/>
      </c>
      <c r="H453" s="65"/>
      <c r="I453" s="76"/>
      <c r="J453" s="51"/>
      <c r="K453" s="73" t="str">
        <f aca="false">IF(E453="","",E453-N(I453))</f>
        <v/>
      </c>
      <c r="L453" s="78" t="str">
        <f aca="true">IF(E453="","",IF(K453&lt;=0,"Paid",IF(AND(G453&lt;&gt;"",TODAY()&gt;G453),"Overdue",IF(N(I453)&gt;0,"Partial","Open"))))</f>
        <v/>
      </c>
      <c r="M453" s="66" t="str">
        <f aca="true">IF(OR(E453="",G453=""),"",IF(K453&lt;=0,IF(H453="","",MAX(0,H453-G453)),MAX(0,TODAY()-G453)))</f>
        <v/>
      </c>
      <c r="N453" s="78" t="str">
        <f aca="true">IF(OR(E453="",G453=""),"",IF(K453&lt;=0,"",IF(TODAY()&lt;=G453,"Not due yet",IF(TODAY()-G453&lt;=30,"1-30 days late",IF(TODAY()-G453&lt;=60,"31-60 days late",IF(TODAY()-G453&lt;=90,"61-90 days late","90+ days late"))))))</f>
        <v/>
      </c>
      <c r="O453" s="66" t="str">
        <f aca="false">IF(OR(H453="",B453="",K453&gt;0),"",H453-B453)</f>
        <v/>
      </c>
    </row>
    <row r="454" customFormat="false" ht="15" hidden="false" customHeight="false" outlineLevel="0" collapsed="false">
      <c r="A454" s="51"/>
      <c r="B454" s="65"/>
      <c r="C454" s="51"/>
      <c r="D454" s="51"/>
      <c r="E454" s="76"/>
      <c r="F454" s="66" t="str">
        <f aca="false">IF(C454="","",IFERROR(1/(1/INDEX(Clients!$H$6:$H$25,MATCH(C454,Clients!$B$6:$B$25,0))),Settings!$C$10))</f>
        <v/>
      </c>
      <c r="G454" s="77" t="str">
        <f aca="false">IF(OR(B454="",F454=""),"",B454+F454)</f>
        <v/>
      </c>
      <c r="H454" s="65"/>
      <c r="I454" s="76"/>
      <c r="J454" s="51"/>
      <c r="K454" s="73" t="str">
        <f aca="false">IF(E454="","",E454-N(I454))</f>
        <v/>
      </c>
      <c r="L454" s="78" t="str">
        <f aca="true">IF(E454="","",IF(K454&lt;=0,"Paid",IF(AND(G454&lt;&gt;"",TODAY()&gt;G454),"Overdue",IF(N(I454)&gt;0,"Partial","Open"))))</f>
        <v/>
      </c>
      <c r="M454" s="66" t="str">
        <f aca="true">IF(OR(E454="",G454=""),"",IF(K454&lt;=0,IF(H454="","",MAX(0,H454-G454)),MAX(0,TODAY()-G454)))</f>
        <v/>
      </c>
      <c r="N454" s="78" t="str">
        <f aca="true">IF(OR(E454="",G454=""),"",IF(K454&lt;=0,"",IF(TODAY()&lt;=G454,"Not due yet",IF(TODAY()-G454&lt;=30,"1-30 days late",IF(TODAY()-G454&lt;=60,"31-60 days late",IF(TODAY()-G454&lt;=90,"61-90 days late","90+ days late"))))))</f>
        <v/>
      </c>
      <c r="O454" s="66" t="str">
        <f aca="false">IF(OR(H454="",B454="",K454&gt;0),"",H454-B454)</f>
        <v/>
      </c>
    </row>
    <row r="455" customFormat="false" ht="15" hidden="false" customHeight="false" outlineLevel="0" collapsed="false">
      <c r="A455" s="51"/>
      <c r="B455" s="65"/>
      <c r="C455" s="51"/>
      <c r="D455" s="51"/>
      <c r="E455" s="76"/>
      <c r="F455" s="66" t="str">
        <f aca="false">IF(C455="","",IFERROR(1/(1/INDEX(Clients!$H$6:$H$25,MATCH(C455,Clients!$B$6:$B$25,0))),Settings!$C$10))</f>
        <v/>
      </c>
      <c r="G455" s="77" t="str">
        <f aca="false">IF(OR(B455="",F455=""),"",B455+F455)</f>
        <v/>
      </c>
      <c r="H455" s="65"/>
      <c r="I455" s="76"/>
      <c r="J455" s="51"/>
      <c r="K455" s="73" t="str">
        <f aca="false">IF(E455="","",E455-N(I455))</f>
        <v/>
      </c>
      <c r="L455" s="78" t="str">
        <f aca="true">IF(E455="","",IF(K455&lt;=0,"Paid",IF(AND(G455&lt;&gt;"",TODAY()&gt;G455),"Overdue",IF(N(I455)&gt;0,"Partial","Open"))))</f>
        <v/>
      </c>
      <c r="M455" s="66" t="str">
        <f aca="true">IF(OR(E455="",G455=""),"",IF(K455&lt;=0,IF(H455="","",MAX(0,H455-G455)),MAX(0,TODAY()-G455)))</f>
        <v/>
      </c>
      <c r="N455" s="78" t="str">
        <f aca="true">IF(OR(E455="",G455=""),"",IF(K455&lt;=0,"",IF(TODAY()&lt;=G455,"Not due yet",IF(TODAY()-G455&lt;=30,"1-30 days late",IF(TODAY()-G455&lt;=60,"31-60 days late",IF(TODAY()-G455&lt;=90,"61-90 days late","90+ days late"))))))</f>
        <v/>
      </c>
      <c r="O455" s="66" t="str">
        <f aca="false">IF(OR(H455="",B455="",K455&gt;0),"",H455-B455)</f>
        <v/>
      </c>
    </row>
    <row r="456" customFormat="false" ht="15" hidden="false" customHeight="false" outlineLevel="0" collapsed="false">
      <c r="A456" s="51"/>
      <c r="B456" s="65"/>
      <c r="C456" s="51"/>
      <c r="D456" s="51"/>
      <c r="E456" s="76"/>
      <c r="F456" s="66" t="str">
        <f aca="false">IF(C456="","",IFERROR(1/(1/INDEX(Clients!$H$6:$H$25,MATCH(C456,Clients!$B$6:$B$25,0))),Settings!$C$10))</f>
        <v/>
      </c>
      <c r="G456" s="77" t="str">
        <f aca="false">IF(OR(B456="",F456=""),"",B456+F456)</f>
        <v/>
      </c>
      <c r="H456" s="65"/>
      <c r="I456" s="76"/>
      <c r="J456" s="51"/>
      <c r="K456" s="73" t="str">
        <f aca="false">IF(E456="","",E456-N(I456))</f>
        <v/>
      </c>
      <c r="L456" s="78" t="str">
        <f aca="true">IF(E456="","",IF(K456&lt;=0,"Paid",IF(AND(G456&lt;&gt;"",TODAY()&gt;G456),"Overdue",IF(N(I456)&gt;0,"Partial","Open"))))</f>
        <v/>
      </c>
      <c r="M456" s="66" t="str">
        <f aca="true">IF(OR(E456="",G456=""),"",IF(K456&lt;=0,IF(H456="","",MAX(0,H456-G456)),MAX(0,TODAY()-G456)))</f>
        <v/>
      </c>
      <c r="N456" s="78" t="str">
        <f aca="true">IF(OR(E456="",G456=""),"",IF(K456&lt;=0,"",IF(TODAY()&lt;=G456,"Not due yet",IF(TODAY()-G456&lt;=30,"1-30 days late",IF(TODAY()-G456&lt;=60,"31-60 days late",IF(TODAY()-G456&lt;=90,"61-90 days late","90+ days late"))))))</f>
        <v/>
      </c>
      <c r="O456" s="66" t="str">
        <f aca="false">IF(OR(H456="",B456="",K456&gt;0),"",H456-B456)</f>
        <v/>
      </c>
    </row>
    <row r="457" customFormat="false" ht="15" hidden="false" customHeight="false" outlineLevel="0" collapsed="false">
      <c r="A457" s="51"/>
      <c r="B457" s="65"/>
      <c r="C457" s="51"/>
      <c r="D457" s="51"/>
      <c r="E457" s="76"/>
      <c r="F457" s="66" t="str">
        <f aca="false">IF(C457="","",IFERROR(1/(1/INDEX(Clients!$H$6:$H$25,MATCH(C457,Clients!$B$6:$B$25,0))),Settings!$C$10))</f>
        <v/>
      </c>
      <c r="G457" s="77" t="str">
        <f aca="false">IF(OR(B457="",F457=""),"",B457+F457)</f>
        <v/>
      </c>
      <c r="H457" s="65"/>
      <c r="I457" s="76"/>
      <c r="J457" s="51"/>
      <c r="K457" s="73" t="str">
        <f aca="false">IF(E457="","",E457-N(I457))</f>
        <v/>
      </c>
      <c r="L457" s="78" t="str">
        <f aca="true">IF(E457="","",IF(K457&lt;=0,"Paid",IF(AND(G457&lt;&gt;"",TODAY()&gt;G457),"Overdue",IF(N(I457)&gt;0,"Partial","Open"))))</f>
        <v/>
      </c>
      <c r="M457" s="66" t="str">
        <f aca="true">IF(OR(E457="",G457=""),"",IF(K457&lt;=0,IF(H457="","",MAX(0,H457-G457)),MAX(0,TODAY()-G457)))</f>
        <v/>
      </c>
      <c r="N457" s="78" t="str">
        <f aca="true">IF(OR(E457="",G457=""),"",IF(K457&lt;=0,"",IF(TODAY()&lt;=G457,"Not due yet",IF(TODAY()-G457&lt;=30,"1-30 days late",IF(TODAY()-G457&lt;=60,"31-60 days late",IF(TODAY()-G457&lt;=90,"61-90 days late","90+ days late"))))))</f>
        <v/>
      </c>
      <c r="O457" s="66" t="str">
        <f aca="false">IF(OR(H457="",B457="",K457&gt;0),"",H457-B457)</f>
        <v/>
      </c>
    </row>
    <row r="458" customFormat="false" ht="15" hidden="false" customHeight="false" outlineLevel="0" collapsed="false">
      <c r="A458" s="51"/>
      <c r="B458" s="65"/>
      <c r="C458" s="51"/>
      <c r="D458" s="51"/>
      <c r="E458" s="76"/>
      <c r="F458" s="66" t="str">
        <f aca="false">IF(C458="","",IFERROR(1/(1/INDEX(Clients!$H$6:$H$25,MATCH(C458,Clients!$B$6:$B$25,0))),Settings!$C$10))</f>
        <v/>
      </c>
      <c r="G458" s="77" t="str">
        <f aca="false">IF(OR(B458="",F458=""),"",B458+F458)</f>
        <v/>
      </c>
      <c r="H458" s="65"/>
      <c r="I458" s="76"/>
      <c r="J458" s="51"/>
      <c r="K458" s="73" t="str">
        <f aca="false">IF(E458="","",E458-N(I458))</f>
        <v/>
      </c>
      <c r="L458" s="78" t="str">
        <f aca="true">IF(E458="","",IF(K458&lt;=0,"Paid",IF(AND(G458&lt;&gt;"",TODAY()&gt;G458),"Overdue",IF(N(I458)&gt;0,"Partial","Open"))))</f>
        <v/>
      </c>
      <c r="M458" s="66" t="str">
        <f aca="true">IF(OR(E458="",G458=""),"",IF(K458&lt;=0,IF(H458="","",MAX(0,H458-G458)),MAX(0,TODAY()-G458)))</f>
        <v/>
      </c>
      <c r="N458" s="78" t="str">
        <f aca="true">IF(OR(E458="",G458=""),"",IF(K458&lt;=0,"",IF(TODAY()&lt;=G458,"Not due yet",IF(TODAY()-G458&lt;=30,"1-30 days late",IF(TODAY()-G458&lt;=60,"31-60 days late",IF(TODAY()-G458&lt;=90,"61-90 days late","90+ days late"))))))</f>
        <v/>
      </c>
      <c r="O458" s="66" t="str">
        <f aca="false">IF(OR(H458="",B458="",K458&gt;0),"",H458-B458)</f>
        <v/>
      </c>
    </row>
    <row r="459" customFormat="false" ht="15" hidden="false" customHeight="false" outlineLevel="0" collapsed="false">
      <c r="A459" s="51"/>
      <c r="B459" s="65"/>
      <c r="C459" s="51"/>
      <c r="D459" s="51"/>
      <c r="E459" s="76"/>
      <c r="F459" s="66" t="str">
        <f aca="false">IF(C459="","",IFERROR(1/(1/INDEX(Clients!$H$6:$H$25,MATCH(C459,Clients!$B$6:$B$25,0))),Settings!$C$10))</f>
        <v/>
      </c>
      <c r="G459" s="77" t="str">
        <f aca="false">IF(OR(B459="",F459=""),"",B459+F459)</f>
        <v/>
      </c>
      <c r="H459" s="65"/>
      <c r="I459" s="76"/>
      <c r="J459" s="51"/>
      <c r="K459" s="73" t="str">
        <f aca="false">IF(E459="","",E459-N(I459))</f>
        <v/>
      </c>
      <c r="L459" s="78" t="str">
        <f aca="true">IF(E459="","",IF(K459&lt;=0,"Paid",IF(AND(G459&lt;&gt;"",TODAY()&gt;G459),"Overdue",IF(N(I459)&gt;0,"Partial","Open"))))</f>
        <v/>
      </c>
      <c r="M459" s="66" t="str">
        <f aca="true">IF(OR(E459="",G459=""),"",IF(K459&lt;=0,IF(H459="","",MAX(0,H459-G459)),MAX(0,TODAY()-G459)))</f>
        <v/>
      </c>
      <c r="N459" s="78" t="str">
        <f aca="true">IF(OR(E459="",G459=""),"",IF(K459&lt;=0,"",IF(TODAY()&lt;=G459,"Not due yet",IF(TODAY()-G459&lt;=30,"1-30 days late",IF(TODAY()-G459&lt;=60,"31-60 days late",IF(TODAY()-G459&lt;=90,"61-90 days late","90+ days late"))))))</f>
        <v/>
      </c>
      <c r="O459" s="66" t="str">
        <f aca="false">IF(OR(H459="",B459="",K459&gt;0),"",H459-B459)</f>
        <v/>
      </c>
    </row>
    <row r="460" customFormat="false" ht="15" hidden="false" customHeight="false" outlineLevel="0" collapsed="false">
      <c r="A460" s="51"/>
      <c r="B460" s="65"/>
      <c r="C460" s="51"/>
      <c r="D460" s="51"/>
      <c r="E460" s="76"/>
      <c r="F460" s="66" t="str">
        <f aca="false">IF(C460="","",IFERROR(1/(1/INDEX(Clients!$H$6:$H$25,MATCH(C460,Clients!$B$6:$B$25,0))),Settings!$C$10))</f>
        <v/>
      </c>
      <c r="G460" s="77" t="str">
        <f aca="false">IF(OR(B460="",F460=""),"",B460+F460)</f>
        <v/>
      </c>
      <c r="H460" s="65"/>
      <c r="I460" s="76"/>
      <c r="J460" s="51"/>
      <c r="K460" s="73" t="str">
        <f aca="false">IF(E460="","",E460-N(I460))</f>
        <v/>
      </c>
      <c r="L460" s="78" t="str">
        <f aca="true">IF(E460="","",IF(K460&lt;=0,"Paid",IF(AND(G460&lt;&gt;"",TODAY()&gt;G460),"Overdue",IF(N(I460)&gt;0,"Partial","Open"))))</f>
        <v/>
      </c>
      <c r="M460" s="66" t="str">
        <f aca="true">IF(OR(E460="",G460=""),"",IF(K460&lt;=0,IF(H460="","",MAX(0,H460-G460)),MAX(0,TODAY()-G460)))</f>
        <v/>
      </c>
      <c r="N460" s="78" t="str">
        <f aca="true">IF(OR(E460="",G460=""),"",IF(K460&lt;=0,"",IF(TODAY()&lt;=G460,"Not due yet",IF(TODAY()-G460&lt;=30,"1-30 days late",IF(TODAY()-G460&lt;=60,"31-60 days late",IF(TODAY()-G460&lt;=90,"61-90 days late","90+ days late"))))))</f>
        <v/>
      </c>
      <c r="O460" s="66" t="str">
        <f aca="false">IF(OR(H460="",B460="",K460&gt;0),"",H460-B460)</f>
        <v/>
      </c>
    </row>
    <row r="461" customFormat="false" ht="15" hidden="false" customHeight="false" outlineLevel="0" collapsed="false">
      <c r="A461" s="51"/>
      <c r="B461" s="65"/>
      <c r="C461" s="51"/>
      <c r="D461" s="51"/>
      <c r="E461" s="76"/>
      <c r="F461" s="66" t="str">
        <f aca="false">IF(C461="","",IFERROR(1/(1/INDEX(Clients!$H$6:$H$25,MATCH(C461,Clients!$B$6:$B$25,0))),Settings!$C$10))</f>
        <v/>
      </c>
      <c r="G461" s="77" t="str">
        <f aca="false">IF(OR(B461="",F461=""),"",B461+F461)</f>
        <v/>
      </c>
      <c r="H461" s="65"/>
      <c r="I461" s="76"/>
      <c r="J461" s="51"/>
      <c r="K461" s="73" t="str">
        <f aca="false">IF(E461="","",E461-N(I461))</f>
        <v/>
      </c>
      <c r="L461" s="78" t="str">
        <f aca="true">IF(E461="","",IF(K461&lt;=0,"Paid",IF(AND(G461&lt;&gt;"",TODAY()&gt;G461),"Overdue",IF(N(I461)&gt;0,"Partial","Open"))))</f>
        <v/>
      </c>
      <c r="M461" s="66" t="str">
        <f aca="true">IF(OR(E461="",G461=""),"",IF(K461&lt;=0,IF(H461="","",MAX(0,H461-G461)),MAX(0,TODAY()-G461)))</f>
        <v/>
      </c>
      <c r="N461" s="78" t="str">
        <f aca="true">IF(OR(E461="",G461=""),"",IF(K461&lt;=0,"",IF(TODAY()&lt;=G461,"Not due yet",IF(TODAY()-G461&lt;=30,"1-30 days late",IF(TODAY()-G461&lt;=60,"31-60 days late",IF(TODAY()-G461&lt;=90,"61-90 days late","90+ days late"))))))</f>
        <v/>
      </c>
      <c r="O461" s="66" t="str">
        <f aca="false">IF(OR(H461="",B461="",K461&gt;0),"",H461-B461)</f>
        <v/>
      </c>
    </row>
    <row r="462" customFormat="false" ht="15" hidden="false" customHeight="false" outlineLevel="0" collapsed="false">
      <c r="A462" s="51"/>
      <c r="B462" s="65"/>
      <c r="C462" s="51"/>
      <c r="D462" s="51"/>
      <c r="E462" s="76"/>
      <c r="F462" s="66" t="str">
        <f aca="false">IF(C462="","",IFERROR(1/(1/INDEX(Clients!$H$6:$H$25,MATCH(C462,Clients!$B$6:$B$25,0))),Settings!$C$10))</f>
        <v/>
      </c>
      <c r="G462" s="77" t="str">
        <f aca="false">IF(OR(B462="",F462=""),"",B462+F462)</f>
        <v/>
      </c>
      <c r="H462" s="65"/>
      <c r="I462" s="76"/>
      <c r="J462" s="51"/>
      <c r="K462" s="73" t="str">
        <f aca="false">IF(E462="","",E462-N(I462))</f>
        <v/>
      </c>
      <c r="L462" s="78" t="str">
        <f aca="true">IF(E462="","",IF(K462&lt;=0,"Paid",IF(AND(G462&lt;&gt;"",TODAY()&gt;G462),"Overdue",IF(N(I462)&gt;0,"Partial","Open"))))</f>
        <v/>
      </c>
      <c r="M462" s="66" t="str">
        <f aca="true">IF(OR(E462="",G462=""),"",IF(K462&lt;=0,IF(H462="","",MAX(0,H462-G462)),MAX(0,TODAY()-G462)))</f>
        <v/>
      </c>
      <c r="N462" s="78" t="str">
        <f aca="true">IF(OR(E462="",G462=""),"",IF(K462&lt;=0,"",IF(TODAY()&lt;=G462,"Not due yet",IF(TODAY()-G462&lt;=30,"1-30 days late",IF(TODAY()-G462&lt;=60,"31-60 days late",IF(TODAY()-G462&lt;=90,"61-90 days late","90+ days late"))))))</f>
        <v/>
      </c>
      <c r="O462" s="66" t="str">
        <f aca="false">IF(OR(H462="",B462="",K462&gt;0),"",H462-B462)</f>
        <v/>
      </c>
    </row>
    <row r="463" customFormat="false" ht="15" hidden="false" customHeight="false" outlineLevel="0" collapsed="false">
      <c r="A463" s="51"/>
      <c r="B463" s="65"/>
      <c r="C463" s="51"/>
      <c r="D463" s="51"/>
      <c r="E463" s="76"/>
      <c r="F463" s="66" t="str">
        <f aca="false">IF(C463="","",IFERROR(1/(1/INDEX(Clients!$H$6:$H$25,MATCH(C463,Clients!$B$6:$B$25,0))),Settings!$C$10))</f>
        <v/>
      </c>
      <c r="G463" s="77" t="str">
        <f aca="false">IF(OR(B463="",F463=""),"",B463+F463)</f>
        <v/>
      </c>
      <c r="H463" s="65"/>
      <c r="I463" s="76"/>
      <c r="J463" s="51"/>
      <c r="K463" s="73" t="str">
        <f aca="false">IF(E463="","",E463-N(I463))</f>
        <v/>
      </c>
      <c r="L463" s="78" t="str">
        <f aca="true">IF(E463="","",IF(K463&lt;=0,"Paid",IF(AND(G463&lt;&gt;"",TODAY()&gt;G463),"Overdue",IF(N(I463)&gt;0,"Partial","Open"))))</f>
        <v/>
      </c>
      <c r="M463" s="66" t="str">
        <f aca="true">IF(OR(E463="",G463=""),"",IF(K463&lt;=0,IF(H463="","",MAX(0,H463-G463)),MAX(0,TODAY()-G463)))</f>
        <v/>
      </c>
      <c r="N463" s="78" t="str">
        <f aca="true">IF(OR(E463="",G463=""),"",IF(K463&lt;=0,"",IF(TODAY()&lt;=G463,"Not due yet",IF(TODAY()-G463&lt;=30,"1-30 days late",IF(TODAY()-G463&lt;=60,"31-60 days late",IF(TODAY()-G463&lt;=90,"61-90 days late","90+ days late"))))))</f>
        <v/>
      </c>
      <c r="O463" s="66" t="str">
        <f aca="false">IF(OR(H463="",B463="",K463&gt;0),"",H463-B463)</f>
        <v/>
      </c>
    </row>
    <row r="464" customFormat="false" ht="15" hidden="false" customHeight="false" outlineLevel="0" collapsed="false">
      <c r="A464" s="51"/>
      <c r="B464" s="65"/>
      <c r="C464" s="51"/>
      <c r="D464" s="51"/>
      <c r="E464" s="76"/>
      <c r="F464" s="66" t="str">
        <f aca="false">IF(C464="","",IFERROR(1/(1/INDEX(Clients!$H$6:$H$25,MATCH(C464,Clients!$B$6:$B$25,0))),Settings!$C$10))</f>
        <v/>
      </c>
      <c r="G464" s="77" t="str">
        <f aca="false">IF(OR(B464="",F464=""),"",B464+F464)</f>
        <v/>
      </c>
      <c r="H464" s="65"/>
      <c r="I464" s="76"/>
      <c r="J464" s="51"/>
      <c r="K464" s="73" t="str">
        <f aca="false">IF(E464="","",E464-N(I464))</f>
        <v/>
      </c>
      <c r="L464" s="78" t="str">
        <f aca="true">IF(E464="","",IF(K464&lt;=0,"Paid",IF(AND(G464&lt;&gt;"",TODAY()&gt;G464),"Overdue",IF(N(I464)&gt;0,"Partial","Open"))))</f>
        <v/>
      </c>
      <c r="M464" s="66" t="str">
        <f aca="true">IF(OR(E464="",G464=""),"",IF(K464&lt;=0,IF(H464="","",MAX(0,H464-G464)),MAX(0,TODAY()-G464)))</f>
        <v/>
      </c>
      <c r="N464" s="78" t="str">
        <f aca="true">IF(OR(E464="",G464=""),"",IF(K464&lt;=0,"",IF(TODAY()&lt;=G464,"Not due yet",IF(TODAY()-G464&lt;=30,"1-30 days late",IF(TODAY()-G464&lt;=60,"31-60 days late",IF(TODAY()-G464&lt;=90,"61-90 days late","90+ days late"))))))</f>
        <v/>
      </c>
      <c r="O464" s="66" t="str">
        <f aca="false">IF(OR(H464="",B464="",K464&gt;0),"",H464-B464)</f>
        <v/>
      </c>
    </row>
    <row r="465" customFormat="false" ht="15" hidden="false" customHeight="false" outlineLevel="0" collapsed="false">
      <c r="A465" s="51"/>
      <c r="B465" s="65"/>
      <c r="C465" s="51"/>
      <c r="D465" s="51"/>
      <c r="E465" s="76"/>
      <c r="F465" s="66" t="str">
        <f aca="false">IF(C465="","",IFERROR(1/(1/INDEX(Clients!$H$6:$H$25,MATCH(C465,Clients!$B$6:$B$25,0))),Settings!$C$10))</f>
        <v/>
      </c>
      <c r="G465" s="77" t="str">
        <f aca="false">IF(OR(B465="",F465=""),"",B465+F465)</f>
        <v/>
      </c>
      <c r="H465" s="65"/>
      <c r="I465" s="76"/>
      <c r="J465" s="51"/>
      <c r="K465" s="73" t="str">
        <f aca="false">IF(E465="","",E465-N(I465))</f>
        <v/>
      </c>
      <c r="L465" s="78" t="str">
        <f aca="true">IF(E465="","",IF(K465&lt;=0,"Paid",IF(AND(G465&lt;&gt;"",TODAY()&gt;G465),"Overdue",IF(N(I465)&gt;0,"Partial","Open"))))</f>
        <v/>
      </c>
      <c r="M465" s="66" t="str">
        <f aca="true">IF(OR(E465="",G465=""),"",IF(K465&lt;=0,IF(H465="","",MAX(0,H465-G465)),MAX(0,TODAY()-G465)))</f>
        <v/>
      </c>
      <c r="N465" s="78" t="str">
        <f aca="true">IF(OR(E465="",G465=""),"",IF(K465&lt;=0,"",IF(TODAY()&lt;=G465,"Not due yet",IF(TODAY()-G465&lt;=30,"1-30 days late",IF(TODAY()-G465&lt;=60,"31-60 days late",IF(TODAY()-G465&lt;=90,"61-90 days late","90+ days late"))))))</f>
        <v/>
      </c>
      <c r="O465" s="66" t="str">
        <f aca="false">IF(OR(H465="",B465="",K465&gt;0),"",H465-B465)</f>
        <v/>
      </c>
    </row>
    <row r="466" customFormat="false" ht="15" hidden="false" customHeight="false" outlineLevel="0" collapsed="false">
      <c r="A466" s="51"/>
      <c r="B466" s="65"/>
      <c r="C466" s="51"/>
      <c r="D466" s="51"/>
      <c r="E466" s="76"/>
      <c r="F466" s="66" t="str">
        <f aca="false">IF(C466="","",IFERROR(1/(1/INDEX(Clients!$H$6:$H$25,MATCH(C466,Clients!$B$6:$B$25,0))),Settings!$C$10))</f>
        <v/>
      </c>
      <c r="G466" s="77" t="str">
        <f aca="false">IF(OR(B466="",F466=""),"",B466+F466)</f>
        <v/>
      </c>
      <c r="H466" s="65"/>
      <c r="I466" s="76"/>
      <c r="J466" s="51"/>
      <c r="K466" s="73" t="str">
        <f aca="false">IF(E466="","",E466-N(I466))</f>
        <v/>
      </c>
      <c r="L466" s="78" t="str">
        <f aca="true">IF(E466="","",IF(K466&lt;=0,"Paid",IF(AND(G466&lt;&gt;"",TODAY()&gt;G466),"Overdue",IF(N(I466)&gt;0,"Partial","Open"))))</f>
        <v/>
      </c>
      <c r="M466" s="66" t="str">
        <f aca="true">IF(OR(E466="",G466=""),"",IF(K466&lt;=0,IF(H466="","",MAX(0,H466-G466)),MAX(0,TODAY()-G466)))</f>
        <v/>
      </c>
      <c r="N466" s="78" t="str">
        <f aca="true">IF(OR(E466="",G466=""),"",IF(K466&lt;=0,"",IF(TODAY()&lt;=G466,"Not due yet",IF(TODAY()-G466&lt;=30,"1-30 days late",IF(TODAY()-G466&lt;=60,"31-60 days late",IF(TODAY()-G466&lt;=90,"61-90 days late","90+ days late"))))))</f>
        <v/>
      </c>
      <c r="O466" s="66" t="str">
        <f aca="false">IF(OR(H466="",B466="",K466&gt;0),"",H466-B466)</f>
        <v/>
      </c>
    </row>
    <row r="467" customFormat="false" ht="15" hidden="false" customHeight="false" outlineLevel="0" collapsed="false">
      <c r="A467" s="51"/>
      <c r="B467" s="65"/>
      <c r="C467" s="51"/>
      <c r="D467" s="51"/>
      <c r="E467" s="76"/>
      <c r="F467" s="66" t="str">
        <f aca="false">IF(C467="","",IFERROR(1/(1/INDEX(Clients!$H$6:$H$25,MATCH(C467,Clients!$B$6:$B$25,0))),Settings!$C$10))</f>
        <v/>
      </c>
      <c r="G467" s="77" t="str">
        <f aca="false">IF(OR(B467="",F467=""),"",B467+F467)</f>
        <v/>
      </c>
      <c r="H467" s="65"/>
      <c r="I467" s="76"/>
      <c r="J467" s="51"/>
      <c r="K467" s="73" t="str">
        <f aca="false">IF(E467="","",E467-N(I467))</f>
        <v/>
      </c>
      <c r="L467" s="78" t="str">
        <f aca="true">IF(E467="","",IF(K467&lt;=0,"Paid",IF(AND(G467&lt;&gt;"",TODAY()&gt;G467),"Overdue",IF(N(I467)&gt;0,"Partial","Open"))))</f>
        <v/>
      </c>
      <c r="M467" s="66" t="str">
        <f aca="true">IF(OR(E467="",G467=""),"",IF(K467&lt;=0,IF(H467="","",MAX(0,H467-G467)),MAX(0,TODAY()-G467)))</f>
        <v/>
      </c>
      <c r="N467" s="78" t="str">
        <f aca="true">IF(OR(E467="",G467=""),"",IF(K467&lt;=0,"",IF(TODAY()&lt;=G467,"Not due yet",IF(TODAY()-G467&lt;=30,"1-30 days late",IF(TODAY()-G467&lt;=60,"31-60 days late",IF(TODAY()-G467&lt;=90,"61-90 days late","90+ days late"))))))</f>
        <v/>
      </c>
      <c r="O467" s="66" t="str">
        <f aca="false">IF(OR(H467="",B467="",K467&gt;0),"",H467-B467)</f>
        <v/>
      </c>
    </row>
    <row r="468" customFormat="false" ht="15" hidden="false" customHeight="false" outlineLevel="0" collapsed="false">
      <c r="A468" s="51"/>
      <c r="B468" s="65"/>
      <c r="C468" s="51"/>
      <c r="D468" s="51"/>
      <c r="E468" s="76"/>
      <c r="F468" s="66" t="str">
        <f aca="false">IF(C468="","",IFERROR(1/(1/INDEX(Clients!$H$6:$H$25,MATCH(C468,Clients!$B$6:$B$25,0))),Settings!$C$10))</f>
        <v/>
      </c>
      <c r="G468" s="77" t="str">
        <f aca="false">IF(OR(B468="",F468=""),"",B468+F468)</f>
        <v/>
      </c>
      <c r="H468" s="65"/>
      <c r="I468" s="76"/>
      <c r="J468" s="51"/>
      <c r="K468" s="73" t="str">
        <f aca="false">IF(E468="","",E468-N(I468))</f>
        <v/>
      </c>
      <c r="L468" s="78" t="str">
        <f aca="true">IF(E468="","",IF(K468&lt;=0,"Paid",IF(AND(G468&lt;&gt;"",TODAY()&gt;G468),"Overdue",IF(N(I468)&gt;0,"Partial","Open"))))</f>
        <v/>
      </c>
      <c r="M468" s="66" t="str">
        <f aca="true">IF(OR(E468="",G468=""),"",IF(K468&lt;=0,IF(H468="","",MAX(0,H468-G468)),MAX(0,TODAY()-G468)))</f>
        <v/>
      </c>
      <c r="N468" s="78" t="str">
        <f aca="true">IF(OR(E468="",G468=""),"",IF(K468&lt;=0,"",IF(TODAY()&lt;=G468,"Not due yet",IF(TODAY()-G468&lt;=30,"1-30 days late",IF(TODAY()-G468&lt;=60,"31-60 days late",IF(TODAY()-G468&lt;=90,"61-90 days late","90+ days late"))))))</f>
        <v/>
      </c>
      <c r="O468" s="66" t="str">
        <f aca="false">IF(OR(H468="",B468="",K468&gt;0),"",H468-B468)</f>
        <v/>
      </c>
    </row>
    <row r="469" customFormat="false" ht="15" hidden="false" customHeight="false" outlineLevel="0" collapsed="false">
      <c r="A469" s="51"/>
      <c r="B469" s="65"/>
      <c r="C469" s="51"/>
      <c r="D469" s="51"/>
      <c r="E469" s="76"/>
      <c r="F469" s="66" t="str">
        <f aca="false">IF(C469="","",IFERROR(1/(1/INDEX(Clients!$H$6:$H$25,MATCH(C469,Clients!$B$6:$B$25,0))),Settings!$C$10))</f>
        <v/>
      </c>
      <c r="G469" s="77" t="str">
        <f aca="false">IF(OR(B469="",F469=""),"",B469+F469)</f>
        <v/>
      </c>
      <c r="H469" s="65"/>
      <c r="I469" s="76"/>
      <c r="J469" s="51"/>
      <c r="K469" s="73" t="str">
        <f aca="false">IF(E469="","",E469-N(I469))</f>
        <v/>
      </c>
      <c r="L469" s="78" t="str">
        <f aca="true">IF(E469="","",IF(K469&lt;=0,"Paid",IF(AND(G469&lt;&gt;"",TODAY()&gt;G469),"Overdue",IF(N(I469)&gt;0,"Partial","Open"))))</f>
        <v/>
      </c>
      <c r="M469" s="66" t="str">
        <f aca="true">IF(OR(E469="",G469=""),"",IF(K469&lt;=0,IF(H469="","",MAX(0,H469-G469)),MAX(0,TODAY()-G469)))</f>
        <v/>
      </c>
      <c r="N469" s="78" t="str">
        <f aca="true">IF(OR(E469="",G469=""),"",IF(K469&lt;=0,"",IF(TODAY()&lt;=G469,"Not due yet",IF(TODAY()-G469&lt;=30,"1-30 days late",IF(TODAY()-G469&lt;=60,"31-60 days late",IF(TODAY()-G469&lt;=90,"61-90 days late","90+ days late"))))))</f>
        <v/>
      </c>
      <c r="O469" s="66" t="str">
        <f aca="false">IF(OR(H469="",B469="",K469&gt;0),"",H469-B469)</f>
        <v/>
      </c>
    </row>
    <row r="470" customFormat="false" ht="15" hidden="false" customHeight="false" outlineLevel="0" collapsed="false">
      <c r="A470" s="51"/>
      <c r="B470" s="65"/>
      <c r="C470" s="51"/>
      <c r="D470" s="51"/>
      <c r="E470" s="76"/>
      <c r="F470" s="66" t="str">
        <f aca="false">IF(C470="","",IFERROR(1/(1/INDEX(Clients!$H$6:$H$25,MATCH(C470,Clients!$B$6:$B$25,0))),Settings!$C$10))</f>
        <v/>
      </c>
      <c r="G470" s="77" t="str">
        <f aca="false">IF(OR(B470="",F470=""),"",B470+F470)</f>
        <v/>
      </c>
      <c r="H470" s="65"/>
      <c r="I470" s="76"/>
      <c r="J470" s="51"/>
      <c r="K470" s="73" t="str">
        <f aca="false">IF(E470="","",E470-N(I470))</f>
        <v/>
      </c>
      <c r="L470" s="78" t="str">
        <f aca="true">IF(E470="","",IF(K470&lt;=0,"Paid",IF(AND(G470&lt;&gt;"",TODAY()&gt;G470),"Overdue",IF(N(I470)&gt;0,"Partial","Open"))))</f>
        <v/>
      </c>
      <c r="M470" s="66" t="str">
        <f aca="true">IF(OR(E470="",G470=""),"",IF(K470&lt;=0,IF(H470="","",MAX(0,H470-G470)),MAX(0,TODAY()-G470)))</f>
        <v/>
      </c>
      <c r="N470" s="78" t="str">
        <f aca="true">IF(OR(E470="",G470=""),"",IF(K470&lt;=0,"",IF(TODAY()&lt;=G470,"Not due yet",IF(TODAY()-G470&lt;=30,"1-30 days late",IF(TODAY()-G470&lt;=60,"31-60 days late",IF(TODAY()-G470&lt;=90,"61-90 days late","90+ days late"))))))</f>
        <v/>
      </c>
      <c r="O470" s="66" t="str">
        <f aca="false">IF(OR(H470="",B470="",K470&gt;0),"",H470-B470)</f>
        <v/>
      </c>
    </row>
    <row r="471" customFormat="false" ht="15" hidden="false" customHeight="false" outlineLevel="0" collapsed="false">
      <c r="A471" s="51"/>
      <c r="B471" s="65"/>
      <c r="C471" s="51"/>
      <c r="D471" s="51"/>
      <c r="E471" s="76"/>
      <c r="F471" s="66" t="str">
        <f aca="false">IF(C471="","",IFERROR(1/(1/INDEX(Clients!$H$6:$H$25,MATCH(C471,Clients!$B$6:$B$25,0))),Settings!$C$10))</f>
        <v/>
      </c>
      <c r="G471" s="77" t="str">
        <f aca="false">IF(OR(B471="",F471=""),"",B471+F471)</f>
        <v/>
      </c>
      <c r="H471" s="65"/>
      <c r="I471" s="76"/>
      <c r="J471" s="51"/>
      <c r="K471" s="73" t="str">
        <f aca="false">IF(E471="","",E471-N(I471))</f>
        <v/>
      </c>
      <c r="L471" s="78" t="str">
        <f aca="true">IF(E471="","",IF(K471&lt;=0,"Paid",IF(AND(G471&lt;&gt;"",TODAY()&gt;G471),"Overdue",IF(N(I471)&gt;0,"Partial","Open"))))</f>
        <v/>
      </c>
      <c r="M471" s="66" t="str">
        <f aca="true">IF(OR(E471="",G471=""),"",IF(K471&lt;=0,IF(H471="","",MAX(0,H471-G471)),MAX(0,TODAY()-G471)))</f>
        <v/>
      </c>
      <c r="N471" s="78" t="str">
        <f aca="true">IF(OR(E471="",G471=""),"",IF(K471&lt;=0,"",IF(TODAY()&lt;=G471,"Not due yet",IF(TODAY()-G471&lt;=30,"1-30 days late",IF(TODAY()-G471&lt;=60,"31-60 days late",IF(TODAY()-G471&lt;=90,"61-90 days late","90+ days late"))))))</f>
        <v/>
      </c>
      <c r="O471" s="66" t="str">
        <f aca="false">IF(OR(H471="",B471="",K471&gt;0),"",H471-B471)</f>
        <v/>
      </c>
    </row>
    <row r="472" customFormat="false" ht="15" hidden="false" customHeight="false" outlineLevel="0" collapsed="false">
      <c r="A472" s="51"/>
      <c r="B472" s="65"/>
      <c r="C472" s="51"/>
      <c r="D472" s="51"/>
      <c r="E472" s="76"/>
      <c r="F472" s="66" t="str">
        <f aca="false">IF(C472="","",IFERROR(1/(1/INDEX(Clients!$H$6:$H$25,MATCH(C472,Clients!$B$6:$B$25,0))),Settings!$C$10))</f>
        <v/>
      </c>
      <c r="G472" s="77" t="str">
        <f aca="false">IF(OR(B472="",F472=""),"",B472+F472)</f>
        <v/>
      </c>
      <c r="H472" s="65"/>
      <c r="I472" s="76"/>
      <c r="J472" s="51"/>
      <c r="K472" s="73" t="str">
        <f aca="false">IF(E472="","",E472-N(I472))</f>
        <v/>
      </c>
      <c r="L472" s="78" t="str">
        <f aca="true">IF(E472="","",IF(K472&lt;=0,"Paid",IF(AND(G472&lt;&gt;"",TODAY()&gt;G472),"Overdue",IF(N(I472)&gt;0,"Partial","Open"))))</f>
        <v/>
      </c>
      <c r="M472" s="66" t="str">
        <f aca="true">IF(OR(E472="",G472=""),"",IF(K472&lt;=0,IF(H472="","",MAX(0,H472-G472)),MAX(0,TODAY()-G472)))</f>
        <v/>
      </c>
      <c r="N472" s="78" t="str">
        <f aca="true">IF(OR(E472="",G472=""),"",IF(K472&lt;=0,"",IF(TODAY()&lt;=G472,"Not due yet",IF(TODAY()-G472&lt;=30,"1-30 days late",IF(TODAY()-G472&lt;=60,"31-60 days late",IF(TODAY()-G472&lt;=90,"61-90 days late","90+ days late"))))))</f>
        <v/>
      </c>
      <c r="O472" s="66" t="str">
        <f aca="false">IF(OR(H472="",B472="",K472&gt;0),"",H472-B472)</f>
        <v/>
      </c>
    </row>
    <row r="473" customFormat="false" ht="15" hidden="false" customHeight="false" outlineLevel="0" collapsed="false">
      <c r="A473" s="51"/>
      <c r="B473" s="65"/>
      <c r="C473" s="51"/>
      <c r="D473" s="51"/>
      <c r="E473" s="76"/>
      <c r="F473" s="66" t="str">
        <f aca="false">IF(C473="","",IFERROR(1/(1/INDEX(Clients!$H$6:$H$25,MATCH(C473,Clients!$B$6:$B$25,0))),Settings!$C$10))</f>
        <v/>
      </c>
      <c r="G473" s="77" t="str">
        <f aca="false">IF(OR(B473="",F473=""),"",B473+F473)</f>
        <v/>
      </c>
      <c r="H473" s="65"/>
      <c r="I473" s="76"/>
      <c r="J473" s="51"/>
      <c r="K473" s="73" t="str">
        <f aca="false">IF(E473="","",E473-N(I473))</f>
        <v/>
      </c>
      <c r="L473" s="78" t="str">
        <f aca="true">IF(E473="","",IF(K473&lt;=0,"Paid",IF(AND(G473&lt;&gt;"",TODAY()&gt;G473),"Overdue",IF(N(I473)&gt;0,"Partial","Open"))))</f>
        <v/>
      </c>
      <c r="M473" s="66" t="str">
        <f aca="true">IF(OR(E473="",G473=""),"",IF(K473&lt;=0,IF(H473="","",MAX(0,H473-G473)),MAX(0,TODAY()-G473)))</f>
        <v/>
      </c>
      <c r="N473" s="78" t="str">
        <f aca="true">IF(OR(E473="",G473=""),"",IF(K473&lt;=0,"",IF(TODAY()&lt;=G473,"Not due yet",IF(TODAY()-G473&lt;=30,"1-30 days late",IF(TODAY()-G473&lt;=60,"31-60 days late",IF(TODAY()-G473&lt;=90,"61-90 days late","90+ days late"))))))</f>
        <v/>
      </c>
      <c r="O473" s="66" t="str">
        <f aca="false">IF(OR(H473="",B473="",K473&gt;0),"",H473-B473)</f>
        <v/>
      </c>
    </row>
    <row r="474" customFormat="false" ht="15" hidden="false" customHeight="false" outlineLevel="0" collapsed="false">
      <c r="A474" s="51"/>
      <c r="B474" s="65"/>
      <c r="C474" s="51"/>
      <c r="D474" s="51"/>
      <c r="E474" s="76"/>
      <c r="F474" s="66" t="str">
        <f aca="false">IF(C474="","",IFERROR(1/(1/INDEX(Clients!$H$6:$H$25,MATCH(C474,Clients!$B$6:$B$25,0))),Settings!$C$10))</f>
        <v/>
      </c>
      <c r="G474" s="77" t="str">
        <f aca="false">IF(OR(B474="",F474=""),"",B474+F474)</f>
        <v/>
      </c>
      <c r="H474" s="65"/>
      <c r="I474" s="76"/>
      <c r="J474" s="51"/>
      <c r="K474" s="73" t="str">
        <f aca="false">IF(E474="","",E474-N(I474))</f>
        <v/>
      </c>
      <c r="L474" s="78" t="str">
        <f aca="true">IF(E474="","",IF(K474&lt;=0,"Paid",IF(AND(G474&lt;&gt;"",TODAY()&gt;G474),"Overdue",IF(N(I474)&gt;0,"Partial","Open"))))</f>
        <v/>
      </c>
      <c r="M474" s="66" t="str">
        <f aca="true">IF(OR(E474="",G474=""),"",IF(K474&lt;=0,IF(H474="","",MAX(0,H474-G474)),MAX(0,TODAY()-G474)))</f>
        <v/>
      </c>
      <c r="N474" s="78" t="str">
        <f aca="true">IF(OR(E474="",G474=""),"",IF(K474&lt;=0,"",IF(TODAY()&lt;=G474,"Not due yet",IF(TODAY()-G474&lt;=30,"1-30 days late",IF(TODAY()-G474&lt;=60,"31-60 days late",IF(TODAY()-G474&lt;=90,"61-90 days late","90+ days late"))))))</f>
        <v/>
      </c>
      <c r="O474" s="66" t="str">
        <f aca="false">IF(OR(H474="",B474="",K474&gt;0),"",H474-B474)</f>
        <v/>
      </c>
    </row>
    <row r="475" customFormat="false" ht="15" hidden="false" customHeight="false" outlineLevel="0" collapsed="false">
      <c r="A475" s="51"/>
      <c r="B475" s="65"/>
      <c r="C475" s="51"/>
      <c r="D475" s="51"/>
      <c r="E475" s="76"/>
      <c r="F475" s="66" t="str">
        <f aca="false">IF(C475="","",IFERROR(1/(1/INDEX(Clients!$H$6:$H$25,MATCH(C475,Clients!$B$6:$B$25,0))),Settings!$C$10))</f>
        <v/>
      </c>
      <c r="G475" s="77" t="str">
        <f aca="false">IF(OR(B475="",F475=""),"",B475+F475)</f>
        <v/>
      </c>
      <c r="H475" s="65"/>
      <c r="I475" s="76"/>
      <c r="J475" s="51"/>
      <c r="K475" s="73" t="str">
        <f aca="false">IF(E475="","",E475-N(I475))</f>
        <v/>
      </c>
      <c r="L475" s="78" t="str">
        <f aca="true">IF(E475="","",IF(K475&lt;=0,"Paid",IF(AND(G475&lt;&gt;"",TODAY()&gt;G475),"Overdue",IF(N(I475)&gt;0,"Partial","Open"))))</f>
        <v/>
      </c>
      <c r="M475" s="66" t="str">
        <f aca="true">IF(OR(E475="",G475=""),"",IF(K475&lt;=0,IF(H475="","",MAX(0,H475-G475)),MAX(0,TODAY()-G475)))</f>
        <v/>
      </c>
      <c r="N475" s="78" t="str">
        <f aca="true">IF(OR(E475="",G475=""),"",IF(K475&lt;=0,"",IF(TODAY()&lt;=G475,"Not due yet",IF(TODAY()-G475&lt;=30,"1-30 days late",IF(TODAY()-G475&lt;=60,"31-60 days late",IF(TODAY()-G475&lt;=90,"61-90 days late","90+ days late"))))))</f>
        <v/>
      </c>
      <c r="O475" s="66" t="str">
        <f aca="false">IF(OR(H475="",B475="",K475&gt;0),"",H475-B475)</f>
        <v/>
      </c>
    </row>
    <row r="476" customFormat="false" ht="15" hidden="false" customHeight="false" outlineLevel="0" collapsed="false">
      <c r="A476" s="51"/>
      <c r="B476" s="65"/>
      <c r="C476" s="51"/>
      <c r="D476" s="51"/>
      <c r="E476" s="76"/>
      <c r="F476" s="66" t="str">
        <f aca="false">IF(C476="","",IFERROR(1/(1/INDEX(Clients!$H$6:$H$25,MATCH(C476,Clients!$B$6:$B$25,0))),Settings!$C$10))</f>
        <v/>
      </c>
      <c r="G476" s="77" t="str">
        <f aca="false">IF(OR(B476="",F476=""),"",B476+F476)</f>
        <v/>
      </c>
      <c r="H476" s="65"/>
      <c r="I476" s="76"/>
      <c r="J476" s="51"/>
      <c r="K476" s="73" t="str">
        <f aca="false">IF(E476="","",E476-N(I476))</f>
        <v/>
      </c>
      <c r="L476" s="78" t="str">
        <f aca="true">IF(E476="","",IF(K476&lt;=0,"Paid",IF(AND(G476&lt;&gt;"",TODAY()&gt;G476),"Overdue",IF(N(I476)&gt;0,"Partial","Open"))))</f>
        <v/>
      </c>
      <c r="M476" s="66" t="str">
        <f aca="true">IF(OR(E476="",G476=""),"",IF(K476&lt;=0,IF(H476="","",MAX(0,H476-G476)),MAX(0,TODAY()-G476)))</f>
        <v/>
      </c>
      <c r="N476" s="78" t="str">
        <f aca="true">IF(OR(E476="",G476=""),"",IF(K476&lt;=0,"",IF(TODAY()&lt;=G476,"Not due yet",IF(TODAY()-G476&lt;=30,"1-30 days late",IF(TODAY()-G476&lt;=60,"31-60 days late",IF(TODAY()-G476&lt;=90,"61-90 days late","90+ days late"))))))</f>
        <v/>
      </c>
      <c r="O476" s="66" t="str">
        <f aca="false">IF(OR(H476="",B476="",K476&gt;0),"",H476-B476)</f>
        <v/>
      </c>
    </row>
    <row r="477" customFormat="false" ht="15" hidden="false" customHeight="false" outlineLevel="0" collapsed="false">
      <c r="A477" s="51"/>
      <c r="B477" s="65"/>
      <c r="C477" s="51"/>
      <c r="D477" s="51"/>
      <c r="E477" s="76"/>
      <c r="F477" s="66" t="str">
        <f aca="false">IF(C477="","",IFERROR(1/(1/INDEX(Clients!$H$6:$H$25,MATCH(C477,Clients!$B$6:$B$25,0))),Settings!$C$10))</f>
        <v/>
      </c>
      <c r="G477" s="77" t="str">
        <f aca="false">IF(OR(B477="",F477=""),"",B477+F477)</f>
        <v/>
      </c>
      <c r="H477" s="65"/>
      <c r="I477" s="76"/>
      <c r="J477" s="51"/>
      <c r="K477" s="73" t="str">
        <f aca="false">IF(E477="","",E477-N(I477))</f>
        <v/>
      </c>
      <c r="L477" s="78" t="str">
        <f aca="true">IF(E477="","",IF(K477&lt;=0,"Paid",IF(AND(G477&lt;&gt;"",TODAY()&gt;G477),"Overdue",IF(N(I477)&gt;0,"Partial","Open"))))</f>
        <v/>
      </c>
      <c r="M477" s="66" t="str">
        <f aca="true">IF(OR(E477="",G477=""),"",IF(K477&lt;=0,IF(H477="","",MAX(0,H477-G477)),MAX(0,TODAY()-G477)))</f>
        <v/>
      </c>
      <c r="N477" s="78" t="str">
        <f aca="true">IF(OR(E477="",G477=""),"",IF(K477&lt;=0,"",IF(TODAY()&lt;=G477,"Not due yet",IF(TODAY()-G477&lt;=30,"1-30 days late",IF(TODAY()-G477&lt;=60,"31-60 days late",IF(TODAY()-G477&lt;=90,"61-90 days late","90+ days late"))))))</f>
        <v/>
      </c>
      <c r="O477" s="66" t="str">
        <f aca="false">IF(OR(H477="",B477="",K477&gt;0),"",H477-B477)</f>
        <v/>
      </c>
    </row>
    <row r="478" customFormat="false" ht="15" hidden="false" customHeight="false" outlineLevel="0" collapsed="false">
      <c r="A478" s="51"/>
      <c r="B478" s="65"/>
      <c r="C478" s="51"/>
      <c r="D478" s="51"/>
      <c r="E478" s="76"/>
      <c r="F478" s="66" t="str">
        <f aca="false">IF(C478="","",IFERROR(1/(1/INDEX(Clients!$H$6:$H$25,MATCH(C478,Clients!$B$6:$B$25,0))),Settings!$C$10))</f>
        <v/>
      </c>
      <c r="G478" s="77" t="str">
        <f aca="false">IF(OR(B478="",F478=""),"",B478+F478)</f>
        <v/>
      </c>
      <c r="H478" s="65"/>
      <c r="I478" s="76"/>
      <c r="J478" s="51"/>
      <c r="K478" s="73" t="str">
        <f aca="false">IF(E478="","",E478-N(I478))</f>
        <v/>
      </c>
      <c r="L478" s="78" t="str">
        <f aca="true">IF(E478="","",IF(K478&lt;=0,"Paid",IF(AND(G478&lt;&gt;"",TODAY()&gt;G478),"Overdue",IF(N(I478)&gt;0,"Partial","Open"))))</f>
        <v/>
      </c>
      <c r="M478" s="66" t="str">
        <f aca="true">IF(OR(E478="",G478=""),"",IF(K478&lt;=0,IF(H478="","",MAX(0,H478-G478)),MAX(0,TODAY()-G478)))</f>
        <v/>
      </c>
      <c r="N478" s="78" t="str">
        <f aca="true">IF(OR(E478="",G478=""),"",IF(K478&lt;=0,"",IF(TODAY()&lt;=G478,"Not due yet",IF(TODAY()-G478&lt;=30,"1-30 days late",IF(TODAY()-G478&lt;=60,"31-60 days late",IF(TODAY()-G478&lt;=90,"61-90 days late","90+ days late"))))))</f>
        <v/>
      </c>
      <c r="O478" s="66" t="str">
        <f aca="false">IF(OR(H478="",B478="",K478&gt;0),"",H478-B478)</f>
        <v/>
      </c>
    </row>
    <row r="479" customFormat="false" ht="15" hidden="false" customHeight="false" outlineLevel="0" collapsed="false">
      <c r="A479" s="51"/>
      <c r="B479" s="65"/>
      <c r="C479" s="51"/>
      <c r="D479" s="51"/>
      <c r="E479" s="76"/>
      <c r="F479" s="66" t="str">
        <f aca="false">IF(C479="","",IFERROR(1/(1/INDEX(Clients!$H$6:$H$25,MATCH(C479,Clients!$B$6:$B$25,0))),Settings!$C$10))</f>
        <v/>
      </c>
      <c r="G479" s="77" t="str">
        <f aca="false">IF(OR(B479="",F479=""),"",B479+F479)</f>
        <v/>
      </c>
      <c r="H479" s="65"/>
      <c r="I479" s="76"/>
      <c r="J479" s="51"/>
      <c r="K479" s="73" t="str">
        <f aca="false">IF(E479="","",E479-N(I479))</f>
        <v/>
      </c>
      <c r="L479" s="78" t="str">
        <f aca="true">IF(E479="","",IF(K479&lt;=0,"Paid",IF(AND(G479&lt;&gt;"",TODAY()&gt;G479),"Overdue",IF(N(I479)&gt;0,"Partial","Open"))))</f>
        <v/>
      </c>
      <c r="M479" s="66" t="str">
        <f aca="true">IF(OR(E479="",G479=""),"",IF(K479&lt;=0,IF(H479="","",MAX(0,H479-G479)),MAX(0,TODAY()-G479)))</f>
        <v/>
      </c>
      <c r="N479" s="78" t="str">
        <f aca="true">IF(OR(E479="",G479=""),"",IF(K479&lt;=0,"",IF(TODAY()&lt;=G479,"Not due yet",IF(TODAY()-G479&lt;=30,"1-30 days late",IF(TODAY()-G479&lt;=60,"31-60 days late",IF(TODAY()-G479&lt;=90,"61-90 days late","90+ days late"))))))</f>
        <v/>
      </c>
      <c r="O479" s="66" t="str">
        <f aca="false">IF(OR(H479="",B479="",K479&gt;0),"",H479-B479)</f>
        <v/>
      </c>
    </row>
    <row r="480" customFormat="false" ht="15" hidden="false" customHeight="false" outlineLevel="0" collapsed="false">
      <c r="A480" s="51"/>
      <c r="B480" s="65"/>
      <c r="C480" s="51"/>
      <c r="D480" s="51"/>
      <c r="E480" s="76"/>
      <c r="F480" s="66" t="str">
        <f aca="false">IF(C480="","",IFERROR(1/(1/INDEX(Clients!$H$6:$H$25,MATCH(C480,Clients!$B$6:$B$25,0))),Settings!$C$10))</f>
        <v/>
      </c>
      <c r="G480" s="77" t="str">
        <f aca="false">IF(OR(B480="",F480=""),"",B480+F480)</f>
        <v/>
      </c>
      <c r="H480" s="65"/>
      <c r="I480" s="76"/>
      <c r="J480" s="51"/>
      <c r="K480" s="73" t="str">
        <f aca="false">IF(E480="","",E480-N(I480))</f>
        <v/>
      </c>
      <c r="L480" s="78" t="str">
        <f aca="true">IF(E480="","",IF(K480&lt;=0,"Paid",IF(AND(G480&lt;&gt;"",TODAY()&gt;G480),"Overdue",IF(N(I480)&gt;0,"Partial","Open"))))</f>
        <v/>
      </c>
      <c r="M480" s="66" t="str">
        <f aca="true">IF(OR(E480="",G480=""),"",IF(K480&lt;=0,IF(H480="","",MAX(0,H480-G480)),MAX(0,TODAY()-G480)))</f>
        <v/>
      </c>
      <c r="N480" s="78" t="str">
        <f aca="true">IF(OR(E480="",G480=""),"",IF(K480&lt;=0,"",IF(TODAY()&lt;=G480,"Not due yet",IF(TODAY()-G480&lt;=30,"1-30 days late",IF(TODAY()-G480&lt;=60,"31-60 days late",IF(TODAY()-G480&lt;=90,"61-90 days late","90+ days late"))))))</f>
        <v/>
      </c>
      <c r="O480" s="66" t="str">
        <f aca="false">IF(OR(H480="",B480="",K480&gt;0),"",H480-B480)</f>
        <v/>
      </c>
    </row>
    <row r="481" customFormat="false" ht="15" hidden="false" customHeight="false" outlineLevel="0" collapsed="false">
      <c r="A481" s="51"/>
      <c r="B481" s="65"/>
      <c r="C481" s="51"/>
      <c r="D481" s="51"/>
      <c r="E481" s="76"/>
      <c r="F481" s="66" t="str">
        <f aca="false">IF(C481="","",IFERROR(1/(1/INDEX(Clients!$H$6:$H$25,MATCH(C481,Clients!$B$6:$B$25,0))),Settings!$C$10))</f>
        <v/>
      </c>
      <c r="G481" s="77" t="str">
        <f aca="false">IF(OR(B481="",F481=""),"",B481+F481)</f>
        <v/>
      </c>
      <c r="H481" s="65"/>
      <c r="I481" s="76"/>
      <c r="J481" s="51"/>
      <c r="K481" s="73" t="str">
        <f aca="false">IF(E481="","",E481-N(I481))</f>
        <v/>
      </c>
      <c r="L481" s="78" t="str">
        <f aca="true">IF(E481="","",IF(K481&lt;=0,"Paid",IF(AND(G481&lt;&gt;"",TODAY()&gt;G481),"Overdue",IF(N(I481)&gt;0,"Partial","Open"))))</f>
        <v/>
      </c>
      <c r="M481" s="66" t="str">
        <f aca="true">IF(OR(E481="",G481=""),"",IF(K481&lt;=0,IF(H481="","",MAX(0,H481-G481)),MAX(0,TODAY()-G481)))</f>
        <v/>
      </c>
      <c r="N481" s="78" t="str">
        <f aca="true">IF(OR(E481="",G481=""),"",IF(K481&lt;=0,"",IF(TODAY()&lt;=G481,"Not due yet",IF(TODAY()-G481&lt;=30,"1-30 days late",IF(TODAY()-G481&lt;=60,"31-60 days late",IF(TODAY()-G481&lt;=90,"61-90 days late","90+ days late"))))))</f>
        <v/>
      </c>
      <c r="O481" s="66" t="str">
        <f aca="false">IF(OR(H481="",B481="",K481&gt;0),"",H481-B481)</f>
        <v/>
      </c>
    </row>
    <row r="482" customFormat="false" ht="15" hidden="false" customHeight="false" outlineLevel="0" collapsed="false">
      <c r="A482" s="51"/>
      <c r="B482" s="65"/>
      <c r="C482" s="51"/>
      <c r="D482" s="51"/>
      <c r="E482" s="76"/>
      <c r="F482" s="66" t="str">
        <f aca="false">IF(C482="","",IFERROR(1/(1/INDEX(Clients!$H$6:$H$25,MATCH(C482,Clients!$B$6:$B$25,0))),Settings!$C$10))</f>
        <v/>
      </c>
      <c r="G482" s="77" t="str">
        <f aca="false">IF(OR(B482="",F482=""),"",B482+F482)</f>
        <v/>
      </c>
      <c r="H482" s="65"/>
      <c r="I482" s="76"/>
      <c r="J482" s="51"/>
      <c r="K482" s="73" t="str">
        <f aca="false">IF(E482="","",E482-N(I482))</f>
        <v/>
      </c>
      <c r="L482" s="78" t="str">
        <f aca="true">IF(E482="","",IF(K482&lt;=0,"Paid",IF(AND(G482&lt;&gt;"",TODAY()&gt;G482),"Overdue",IF(N(I482)&gt;0,"Partial","Open"))))</f>
        <v/>
      </c>
      <c r="M482" s="66" t="str">
        <f aca="true">IF(OR(E482="",G482=""),"",IF(K482&lt;=0,IF(H482="","",MAX(0,H482-G482)),MAX(0,TODAY()-G482)))</f>
        <v/>
      </c>
      <c r="N482" s="78" t="str">
        <f aca="true">IF(OR(E482="",G482=""),"",IF(K482&lt;=0,"",IF(TODAY()&lt;=G482,"Not due yet",IF(TODAY()-G482&lt;=30,"1-30 days late",IF(TODAY()-G482&lt;=60,"31-60 days late",IF(TODAY()-G482&lt;=90,"61-90 days late","90+ days late"))))))</f>
        <v/>
      </c>
      <c r="O482" s="66" t="str">
        <f aca="false">IF(OR(H482="",B482="",K482&gt;0),"",H482-B482)</f>
        <v/>
      </c>
    </row>
    <row r="483" customFormat="false" ht="15" hidden="false" customHeight="false" outlineLevel="0" collapsed="false">
      <c r="A483" s="51"/>
      <c r="B483" s="65"/>
      <c r="C483" s="51"/>
      <c r="D483" s="51"/>
      <c r="E483" s="76"/>
      <c r="F483" s="66" t="str">
        <f aca="false">IF(C483="","",IFERROR(1/(1/INDEX(Clients!$H$6:$H$25,MATCH(C483,Clients!$B$6:$B$25,0))),Settings!$C$10))</f>
        <v/>
      </c>
      <c r="G483" s="77" t="str">
        <f aca="false">IF(OR(B483="",F483=""),"",B483+F483)</f>
        <v/>
      </c>
      <c r="H483" s="65"/>
      <c r="I483" s="76"/>
      <c r="J483" s="51"/>
      <c r="K483" s="73" t="str">
        <f aca="false">IF(E483="","",E483-N(I483))</f>
        <v/>
      </c>
      <c r="L483" s="78" t="str">
        <f aca="true">IF(E483="","",IF(K483&lt;=0,"Paid",IF(AND(G483&lt;&gt;"",TODAY()&gt;G483),"Overdue",IF(N(I483)&gt;0,"Partial","Open"))))</f>
        <v/>
      </c>
      <c r="M483" s="66" t="str">
        <f aca="true">IF(OR(E483="",G483=""),"",IF(K483&lt;=0,IF(H483="","",MAX(0,H483-G483)),MAX(0,TODAY()-G483)))</f>
        <v/>
      </c>
      <c r="N483" s="78" t="str">
        <f aca="true">IF(OR(E483="",G483=""),"",IF(K483&lt;=0,"",IF(TODAY()&lt;=G483,"Not due yet",IF(TODAY()-G483&lt;=30,"1-30 days late",IF(TODAY()-G483&lt;=60,"31-60 days late",IF(TODAY()-G483&lt;=90,"61-90 days late","90+ days late"))))))</f>
        <v/>
      </c>
      <c r="O483" s="66" t="str">
        <f aca="false">IF(OR(H483="",B483="",K483&gt;0),"",H483-B483)</f>
        <v/>
      </c>
    </row>
    <row r="484" customFormat="false" ht="15" hidden="false" customHeight="false" outlineLevel="0" collapsed="false">
      <c r="A484" s="51"/>
      <c r="B484" s="65"/>
      <c r="C484" s="51"/>
      <c r="D484" s="51"/>
      <c r="E484" s="76"/>
      <c r="F484" s="66" t="str">
        <f aca="false">IF(C484="","",IFERROR(1/(1/INDEX(Clients!$H$6:$H$25,MATCH(C484,Clients!$B$6:$B$25,0))),Settings!$C$10))</f>
        <v/>
      </c>
      <c r="G484" s="77" t="str">
        <f aca="false">IF(OR(B484="",F484=""),"",B484+F484)</f>
        <v/>
      </c>
      <c r="H484" s="65"/>
      <c r="I484" s="76"/>
      <c r="J484" s="51"/>
      <c r="K484" s="73" t="str">
        <f aca="false">IF(E484="","",E484-N(I484))</f>
        <v/>
      </c>
      <c r="L484" s="78" t="str">
        <f aca="true">IF(E484="","",IF(K484&lt;=0,"Paid",IF(AND(G484&lt;&gt;"",TODAY()&gt;G484),"Overdue",IF(N(I484)&gt;0,"Partial","Open"))))</f>
        <v/>
      </c>
      <c r="M484" s="66" t="str">
        <f aca="true">IF(OR(E484="",G484=""),"",IF(K484&lt;=0,IF(H484="","",MAX(0,H484-G484)),MAX(0,TODAY()-G484)))</f>
        <v/>
      </c>
      <c r="N484" s="78" t="str">
        <f aca="true">IF(OR(E484="",G484=""),"",IF(K484&lt;=0,"",IF(TODAY()&lt;=G484,"Not due yet",IF(TODAY()-G484&lt;=30,"1-30 days late",IF(TODAY()-G484&lt;=60,"31-60 days late",IF(TODAY()-G484&lt;=90,"61-90 days late","90+ days late"))))))</f>
        <v/>
      </c>
      <c r="O484" s="66" t="str">
        <f aca="false">IF(OR(H484="",B484="",K484&gt;0),"",H484-B484)</f>
        <v/>
      </c>
    </row>
    <row r="485" customFormat="false" ht="15" hidden="false" customHeight="false" outlineLevel="0" collapsed="false">
      <c r="A485" s="51"/>
      <c r="B485" s="65"/>
      <c r="C485" s="51"/>
      <c r="D485" s="51"/>
      <c r="E485" s="76"/>
      <c r="F485" s="66" t="str">
        <f aca="false">IF(C485="","",IFERROR(1/(1/INDEX(Clients!$H$6:$H$25,MATCH(C485,Clients!$B$6:$B$25,0))),Settings!$C$10))</f>
        <v/>
      </c>
      <c r="G485" s="77" t="str">
        <f aca="false">IF(OR(B485="",F485=""),"",B485+F485)</f>
        <v/>
      </c>
      <c r="H485" s="65"/>
      <c r="I485" s="76"/>
      <c r="J485" s="51"/>
      <c r="K485" s="73" t="str">
        <f aca="false">IF(E485="","",E485-N(I485))</f>
        <v/>
      </c>
      <c r="L485" s="78" t="str">
        <f aca="true">IF(E485="","",IF(K485&lt;=0,"Paid",IF(AND(G485&lt;&gt;"",TODAY()&gt;G485),"Overdue",IF(N(I485)&gt;0,"Partial","Open"))))</f>
        <v/>
      </c>
      <c r="M485" s="66" t="str">
        <f aca="true">IF(OR(E485="",G485=""),"",IF(K485&lt;=0,IF(H485="","",MAX(0,H485-G485)),MAX(0,TODAY()-G485)))</f>
        <v/>
      </c>
      <c r="N485" s="78" t="str">
        <f aca="true">IF(OR(E485="",G485=""),"",IF(K485&lt;=0,"",IF(TODAY()&lt;=G485,"Not due yet",IF(TODAY()-G485&lt;=30,"1-30 days late",IF(TODAY()-G485&lt;=60,"31-60 days late",IF(TODAY()-G485&lt;=90,"61-90 days late","90+ days late"))))))</f>
        <v/>
      </c>
      <c r="O485" s="66" t="str">
        <f aca="false">IF(OR(H485="",B485="",K485&gt;0),"",H485-B485)</f>
        <v/>
      </c>
    </row>
    <row r="486" customFormat="false" ht="15" hidden="false" customHeight="false" outlineLevel="0" collapsed="false">
      <c r="A486" s="51"/>
      <c r="B486" s="65"/>
      <c r="C486" s="51"/>
      <c r="D486" s="51"/>
      <c r="E486" s="76"/>
      <c r="F486" s="66" t="str">
        <f aca="false">IF(C486="","",IFERROR(1/(1/INDEX(Clients!$H$6:$H$25,MATCH(C486,Clients!$B$6:$B$25,0))),Settings!$C$10))</f>
        <v/>
      </c>
      <c r="G486" s="77" t="str">
        <f aca="false">IF(OR(B486="",F486=""),"",B486+F486)</f>
        <v/>
      </c>
      <c r="H486" s="65"/>
      <c r="I486" s="76"/>
      <c r="J486" s="51"/>
      <c r="K486" s="73" t="str">
        <f aca="false">IF(E486="","",E486-N(I486))</f>
        <v/>
      </c>
      <c r="L486" s="78" t="str">
        <f aca="true">IF(E486="","",IF(K486&lt;=0,"Paid",IF(AND(G486&lt;&gt;"",TODAY()&gt;G486),"Overdue",IF(N(I486)&gt;0,"Partial","Open"))))</f>
        <v/>
      </c>
      <c r="M486" s="66" t="str">
        <f aca="true">IF(OR(E486="",G486=""),"",IF(K486&lt;=0,IF(H486="","",MAX(0,H486-G486)),MAX(0,TODAY()-G486)))</f>
        <v/>
      </c>
      <c r="N486" s="78" t="str">
        <f aca="true">IF(OR(E486="",G486=""),"",IF(K486&lt;=0,"",IF(TODAY()&lt;=G486,"Not due yet",IF(TODAY()-G486&lt;=30,"1-30 days late",IF(TODAY()-G486&lt;=60,"31-60 days late",IF(TODAY()-G486&lt;=90,"61-90 days late","90+ days late"))))))</f>
        <v/>
      </c>
      <c r="O486" s="66" t="str">
        <f aca="false">IF(OR(H486="",B486="",K486&gt;0),"",H486-B486)</f>
        <v/>
      </c>
    </row>
    <row r="487" customFormat="false" ht="15" hidden="false" customHeight="false" outlineLevel="0" collapsed="false">
      <c r="A487" s="51"/>
      <c r="B487" s="65"/>
      <c r="C487" s="51"/>
      <c r="D487" s="51"/>
      <c r="E487" s="76"/>
      <c r="F487" s="66" t="str">
        <f aca="false">IF(C487="","",IFERROR(1/(1/INDEX(Clients!$H$6:$H$25,MATCH(C487,Clients!$B$6:$B$25,0))),Settings!$C$10))</f>
        <v/>
      </c>
      <c r="G487" s="77" t="str">
        <f aca="false">IF(OR(B487="",F487=""),"",B487+F487)</f>
        <v/>
      </c>
      <c r="H487" s="65"/>
      <c r="I487" s="76"/>
      <c r="J487" s="51"/>
      <c r="K487" s="73" t="str">
        <f aca="false">IF(E487="","",E487-N(I487))</f>
        <v/>
      </c>
      <c r="L487" s="78" t="str">
        <f aca="true">IF(E487="","",IF(K487&lt;=0,"Paid",IF(AND(G487&lt;&gt;"",TODAY()&gt;G487),"Overdue",IF(N(I487)&gt;0,"Partial","Open"))))</f>
        <v/>
      </c>
      <c r="M487" s="66" t="str">
        <f aca="true">IF(OR(E487="",G487=""),"",IF(K487&lt;=0,IF(H487="","",MAX(0,H487-G487)),MAX(0,TODAY()-G487)))</f>
        <v/>
      </c>
      <c r="N487" s="78" t="str">
        <f aca="true">IF(OR(E487="",G487=""),"",IF(K487&lt;=0,"",IF(TODAY()&lt;=G487,"Not due yet",IF(TODAY()-G487&lt;=30,"1-30 days late",IF(TODAY()-G487&lt;=60,"31-60 days late",IF(TODAY()-G487&lt;=90,"61-90 days late","90+ days late"))))))</f>
        <v/>
      </c>
      <c r="O487" s="66" t="str">
        <f aca="false">IF(OR(H487="",B487="",K487&gt;0),"",H487-B487)</f>
        <v/>
      </c>
    </row>
    <row r="488" customFormat="false" ht="15" hidden="false" customHeight="false" outlineLevel="0" collapsed="false">
      <c r="A488" s="51"/>
      <c r="B488" s="65"/>
      <c r="C488" s="51"/>
      <c r="D488" s="51"/>
      <c r="E488" s="76"/>
      <c r="F488" s="66" t="str">
        <f aca="false">IF(C488="","",IFERROR(1/(1/INDEX(Clients!$H$6:$H$25,MATCH(C488,Clients!$B$6:$B$25,0))),Settings!$C$10))</f>
        <v/>
      </c>
      <c r="G488" s="77" t="str">
        <f aca="false">IF(OR(B488="",F488=""),"",B488+F488)</f>
        <v/>
      </c>
      <c r="H488" s="65"/>
      <c r="I488" s="76"/>
      <c r="J488" s="51"/>
      <c r="K488" s="73" t="str">
        <f aca="false">IF(E488="","",E488-N(I488))</f>
        <v/>
      </c>
      <c r="L488" s="78" t="str">
        <f aca="true">IF(E488="","",IF(K488&lt;=0,"Paid",IF(AND(G488&lt;&gt;"",TODAY()&gt;G488),"Overdue",IF(N(I488)&gt;0,"Partial","Open"))))</f>
        <v/>
      </c>
      <c r="M488" s="66" t="str">
        <f aca="true">IF(OR(E488="",G488=""),"",IF(K488&lt;=0,IF(H488="","",MAX(0,H488-G488)),MAX(0,TODAY()-G488)))</f>
        <v/>
      </c>
      <c r="N488" s="78" t="str">
        <f aca="true">IF(OR(E488="",G488=""),"",IF(K488&lt;=0,"",IF(TODAY()&lt;=G488,"Not due yet",IF(TODAY()-G488&lt;=30,"1-30 days late",IF(TODAY()-G488&lt;=60,"31-60 days late",IF(TODAY()-G488&lt;=90,"61-90 days late","90+ days late"))))))</f>
        <v/>
      </c>
      <c r="O488" s="66" t="str">
        <f aca="false">IF(OR(H488="",B488="",K488&gt;0),"",H488-B488)</f>
        <v/>
      </c>
    </row>
    <row r="489" customFormat="false" ht="15" hidden="false" customHeight="false" outlineLevel="0" collapsed="false">
      <c r="A489" s="51"/>
      <c r="B489" s="65"/>
      <c r="C489" s="51"/>
      <c r="D489" s="51"/>
      <c r="E489" s="76"/>
      <c r="F489" s="66" t="str">
        <f aca="false">IF(C489="","",IFERROR(1/(1/INDEX(Clients!$H$6:$H$25,MATCH(C489,Clients!$B$6:$B$25,0))),Settings!$C$10))</f>
        <v/>
      </c>
      <c r="G489" s="77" t="str">
        <f aca="false">IF(OR(B489="",F489=""),"",B489+F489)</f>
        <v/>
      </c>
      <c r="H489" s="65"/>
      <c r="I489" s="76"/>
      <c r="J489" s="51"/>
      <c r="K489" s="73" t="str">
        <f aca="false">IF(E489="","",E489-N(I489))</f>
        <v/>
      </c>
      <c r="L489" s="78" t="str">
        <f aca="true">IF(E489="","",IF(K489&lt;=0,"Paid",IF(AND(G489&lt;&gt;"",TODAY()&gt;G489),"Overdue",IF(N(I489)&gt;0,"Partial","Open"))))</f>
        <v/>
      </c>
      <c r="M489" s="66" t="str">
        <f aca="true">IF(OR(E489="",G489=""),"",IF(K489&lt;=0,IF(H489="","",MAX(0,H489-G489)),MAX(0,TODAY()-G489)))</f>
        <v/>
      </c>
      <c r="N489" s="78" t="str">
        <f aca="true">IF(OR(E489="",G489=""),"",IF(K489&lt;=0,"",IF(TODAY()&lt;=G489,"Not due yet",IF(TODAY()-G489&lt;=30,"1-30 days late",IF(TODAY()-G489&lt;=60,"31-60 days late",IF(TODAY()-G489&lt;=90,"61-90 days late","90+ days late"))))))</f>
        <v/>
      </c>
      <c r="O489" s="66" t="str">
        <f aca="false">IF(OR(H489="",B489="",K489&gt;0),"",H489-B489)</f>
        <v/>
      </c>
    </row>
    <row r="490" customFormat="false" ht="15" hidden="false" customHeight="false" outlineLevel="0" collapsed="false">
      <c r="A490" s="51"/>
      <c r="B490" s="65"/>
      <c r="C490" s="51"/>
      <c r="D490" s="51"/>
      <c r="E490" s="76"/>
      <c r="F490" s="66" t="str">
        <f aca="false">IF(C490="","",IFERROR(1/(1/INDEX(Clients!$H$6:$H$25,MATCH(C490,Clients!$B$6:$B$25,0))),Settings!$C$10))</f>
        <v/>
      </c>
      <c r="G490" s="77" t="str">
        <f aca="false">IF(OR(B490="",F490=""),"",B490+F490)</f>
        <v/>
      </c>
      <c r="H490" s="65"/>
      <c r="I490" s="76"/>
      <c r="J490" s="51"/>
      <c r="K490" s="73" t="str">
        <f aca="false">IF(E490="","",E490-N(I490))</f>
        <v/>
      </c>
      <c r="L490" s="78" t="str">
        <f aca="true">IF(E490="","",IF(K490&lt;=0,"Paid",IF(AND(G490&lt;&gt;"",TODAY()&gt;G490),"Overdue",IF(N(I490)&gt;0,"Partial","Open"))))</f>
        <v/>
      </c>
      <c r="M490" s="66" t="str">
        <f aca="true">IF(OR(E490="",G490=""),"",IF(K490&lt;=0,IF(H490="","",MAX(0,H490-G490)),MAX(0,TODAY()-G490)))</f>
        <v/>
      </c>
      <c r="N490" s="78" t="str">
        <f aca="true">IF(OR(E490="",G490=""),"",IF(K490&lt;=0,"",IF(TODAY()&lt;=G490,"Not due yet",IF(TODAY()-G490&lt;=30,"1-30 days late",IF(TODAY()-G490&lt;=60,"31-60 days late",IF(TODAY()-G490&lt;=90,"61-90 days late","90+ days late"))))))</f>
        <v/>
      </c>
      <c r="O490" s="66" t="str">
        <f aca="false">IF(OR(H490="",B490="",K490&gt;0),"",H490-B490)</f>
        <v/>
      </c>
    </row>
    <row r="491" customFormat="false" ht="15" hidden="false" customHeight="false" outlineLevel="0" collapsed="false">
      <c r="A491" s="51"/>
      <c r="B491" s="65"/>
      <c r="C491" s="51"/>
      <c r="D491" s="51"/>
      <c r="E491" s="76"/>
      <c r="F491" s="66" t="str">
        <f aca="false">IF(C491="","",IFERROR(1/(1/INDEX(Clients!$H$6:$H$25,MATCH(C491,Clients!$B$6:$B$25,0))),Settings!$C$10))</f>
        <v/>
      </c>
      <c r="G491" s="77" t="str">
        <f aca="false">IF(OR(B491="",F491=""),"",B491+F491)</f>
        <v/>
      </c>
      <c r="H491" s="65"/>
      <c r="I491" s="76"/>
      <c r="J491" s="51"/>
      <c r="K491" s="73" t="str">
        <f aca="false">IF(E491="","",E491-N(I491))</f>
        <v/>
      </c>
      <c r="L491" s="78" t="str">
        <f aca="true">IF(E491="","",IF(K491&lt;=0,"Paid",IF(AND(G491&lt;&gt;"",TODAY()&gt;G491),"Overdue",IF(N(I491)&gt;0,"Partial","Open"))))</f>
        <v/>
      </c>
      <c r="M491" s="66" t="str">
        <f aca="true">IF(OR(E491="",G491=""),"",IF(K491&lt;=0,IF(H491="","",MAX(0,H491-G491)),MAX(0,TODAY()-G491)))</f>
        <v/>
      </c>
      <c r="N491" s="78" t="str">
        <f aca="true">IF(OR(E491="",G491=""),"",IF(K491&lt;=0,"",IF(TODAY()&lt;=G491,"Not due yet",IF(TODAY()-G491&lt;=30,"1-30 days late",IF(TODAY()-G491&lt;=60,"31-60 days late",IF(TODAY()-G491&lt;=90,"61-90 days late","90+ days late"))))))</f>
        <v/>
      </c>
      <c r="O491" s="66" t="str">
        <f aca="false">IF(OR(H491="",B491="",K491&gt;0),"",H491-B491)</f>
        <v/>
      </c>
    </row>
    <row r="492" customFormat="false" ht="15" hidden="false" customHeight="false" outlineLevel="0" collapsed="false">
      <c r="A492" s="51"/>
      <c r="B492" s="65"/>
      <c r="C492" s="51"/>
      <c r="D492" s="51"/>
      <c r="E492" s="76"/>
      <c r="F492" s="66" t="str">
        <f aca="false">IF(C492="","",IFERROR(1/(1/INDEX(Clients!$H$6:$H$25,MATCH(C492,Clients!$B$6:$B$25,0))),Settings!$C$10))</f>
        <v/>
      </c>
      <c r="G492" s="77" t="str">
        <f aca="false">IF(OR(B492="",F492=""),"",B492+F492)</f>
        <v/>
      </c>
      <c r="H492" s="65"/>
      <c r="I492" s="76"/>
      <c r="J492" s="51"/>
      <c r="K492" s="73" t="str">
        <f aca="false">IF(E492="","",E492-N(I492))</f>
        <v/>
      </c>
      <c r="L492" s="78" t="str">
        <f aca="true">IF(E492="","",IF(K492&lt;=0,"Paid",IF(AND(G492&lt;&gt;"",TODAY()&gt;G492),"Overdue",IF(N(I492)&gt;0,"Partial","Open"))))</f>
        <v/>
      </c>
      <c r="M492" s="66" t="str">
        <f aca="true">IF(OR(E492="",G492=""),"",IF(K492&lt;=0,IF(H492="","",MAX(0,H492-G492)),MAX(0,TODAY()-G492)))</f>
        <v/>
      </c>
      <c r="N492" s="78" t="str">
        <f aca="true">IF(OR(E492="",G492=""),"",IF(K492&lt;=0,"",IF(TODAY()&lt;=G492,"Not due yet",IF(TODAY()-G492&lt;=30,"1-30 days late",IF(TODAY()-G492&lt;=60,"31-60 days late",IF(TODAY()-G492&lt;=90,"61-90 days late","90+ days late"))))))</f>
        <v/>
      </c>
      <c r="O492" s="66" t="str">
        <f aca="false">IF(OR(H492="",B492="",K492&gt;0),"",H492-B492)</f>
        <v/>
      </c>
    </row>
    <row r="493" customFormat="false" ht="15" hidden="false" customHeight="false" outlineLevel="0" collapsed="false">
      <c r="A493" s="51"/>
      <c r="B493" s="65"/>
      <c r="C493" s="51"/>
      <c r="D493" s="51"/>
      <c r="E493" s="76"/>
      <c r="F493" s="66" t="str">
        <f aca="false">IF(C493="","",IFERROR(1/(1/INDEX(Clients!$H$6:$H$25,MATCH(C493,Clients!$B$6:$B$25,0))),Settings!$C$10))</f>
        <v/>
      </c>
      <c r="G493" s="77" t="str">
        <f aca="false">IF(OR(B493="",F493=""),"",B493+F493)</f>
        <v/>
      </c>
      <c r="H493" s="65"/>
      <c r="I493" s="76"/>
      <c r="J493" s="51"/>
      <c r="K493" s="73" t="str">
        <f aca="false">IF(E493="","",E493-N(I493))</f>
        <v/>
      </c>
      <c r="L493" s="78" t="str">
        <f aca="true">IF(E493="","",IF(K493&lt;=0,"Paid",IF(AND(G493&lt;&gt;"",TODAY()&gt;G493),"Overdue",IF(N(I493)&gt;0,"Partial","Open"))))</f>
        <v/>
      </c>
      <c r="M493" s="66" t="str">
        <f aca="true">IF(OR(E493="",G493=""),"",IF(K493&lt;=0,IF(H493="","",MAX(0,H493-G493)),MAX(0,TODAY()-G493)))</f>
        <v/>
      </c>
      <c r="N493" s="78" t="str">
        <f aca="true">IF(OR(E493="",G493=""),"",IF(K493&lt;=0,"",IF(TODAY()&lt;=G493,"Not due yet",IF(TODAY()-G493&lt;=30,"1-30 days late",IF(TODAY()-G493&lt;=60,"31-60 days late",IF(TODAY()-G493&lt;=90,"61-90 days late","90+ days late"))))))</f>
        <v/>
      </c>
      <c r="O493" s="66" t="str">
        <f aca="false">IF(OR(H493="",B493="",K493&gt;0),"",H493-B493)</f>
        <v/>
      </c>
    </row>
    <row r="494" customFormat="false" ht="15" hidden="false" customHeight="false" outlineLevel="0" collapsed="false">
      <c r="A494" s="51"/>
      <c r="B494" s="65"/>
      <c r="C494" s="51"/>
      <c r="D494" s="51"/>
      <c r="E494" s="76"/>
      <c r="F494" s="66" t="str">
        <f aca="false">IF(C494="","",IFERROR(1/(1/INDEX(Clients!$H$6:$H$25,MATCH(C494,Clients!$B$6:$B$25,0))),Settings!$C$10))</f>
        <v/>
      </c>
      <c r="G494" s="77" t="str">
        <f aca="false">IF(OR(B494="",F494=""),"",B494+F494)</f>
        <v/>
      </c>
      <c r="H494" s="65"/>
      <c r="I494" s="76"/>
      <c r="J494" s="51"/>
      <c r="K494" s="73" t="str">
        <f aca="false">IF(E494="","",E494-N(I494))</f>
        <v/>
      </c>
      <c r="L494" s="78" t="str">
        <f aca="true">IF(E494="","",IF(K494&lt;=0,"Paid",IF(AND(G494&lt;&gt;"",TODAY()&gt;G494),"Overdue",IF(N(I494)&gt;0,"Partial","Open"))))</f>
        <v/>
      </c>
      <c r="M494" s="66" t="str">
        <f aca="true">IF(OR(E494="",G494=""),"",IF(K494&lt;=0,IF(H494="","",MAX(0,H494-G494)),MAX(0,TODAY()-G494)))</f>
        <v/>
      </c>
      <c r="N494" s="78" t="str">
        <f aca="true">IF(OR(E494="",G494=""),"",IF(K494&lt;=0,"",IF(TODAY()&lt;=G494,"Not due yet",IF(TODAY()-G494&lt;=30,"1-30 days late",IF(TODAY()-G494&lt;=60,"31-60 days late",IF(TODAY()-G494&lt;=90,"61-90 days late","90+ days late"))))))</f>
        <v/>
      </c>
      <c r="O494" s="66" t="str">
        <f aca="false">IF(OR(H494="",B494="",K494&gt;0),"",H494-B494)</f>
        <v/>
      </c>
    </row>
    <row r="495" customFormat="false" ht="15" hidden="false" customHeight="false" outlineLevel="0" collapsed="false">
      <c r="A495" s="51"/>
      <c r="B495" s="65"/>
      <c r="C495" s="51"/>
      <c r="D495" s="51"/>
      <c r="E495" s="76"/>
      <c r="F495" s="66" t="str">
        <f aca="false">IF(C495="","",IFERROR(1/(1/INDEX(Clients!$H$6:$H$25,MATCH(C495,Clients!$B$6:$B$25,0))),Settings!$C$10))</f>
        <v/>
      </c>
      <c r="G495" s="77" t="str">
        <f aca="false">IF(OR(B495="",F495=""),"",B495+F495)</f>
        <v/>
      </c>
      <c r="H495" s="65"/>
      <c r="I495" s="76"/>
      <c r="J495" s="51"/>
      <c r="K495" s="73" t="str">
        <f aca="false">IF(E495="","",E495-N(I495))</f>
        <v/>
      </c>
      <c r="L495" s="78" t="str">
        <f aca="true">IF(E495="","",IF(K495&lt;=0,"Paid",IF(AND(G495&lt;&gt;"",TODAY()&gt;G495),"Overdue",IF(N(I495)&gt;0,"Partial","Open"))))</f>
        <v/>
      </c>
      <c r="M495" s="66" t="str">
        <f aca="true">IF(OR(E495="",G495=""),"",IF(K495&lt;=0,IF(H495="","",MAX(0,H495-G495)),MAX(0,TODAY()-G495)))</f>
        <v/>
      </c>
      <c r="N495" s="78" t="str">
        <f aca="true">IF(OR(E495="",G495=""),"",IF(K495&lt;=0,"",IF(TODAY()&lt;=G495,"Not due yet",IF(TODAY()-G495&lt;=30,"1-30 days late",IF(TODAY()-G495&lt;=60,"31-60 days late",IF(TODAY()-G495&lt;=90,"61-90 days late","90+ days late"))))))</f>
        <v/>
      </c>
      <c r="O495" s="66" t="str">
        <f aca="false">IF(OR(H495="",B495="",K495&gt;0),"",H495-B495)</f>
        <v/>
      </c>
    </row>
    <row r="496" customFormat="false" ht="15" hidden="false" customHeight="false" outlineLevel="0" collapsed="false">
      <c r="A496" s="51"/>
      <c r="B496" s="65"/>
      <c r="C496" s="51"/>
      <c r="D496" s="51"/>
      <c r="E496" s="76"/>
      <c r="F496" s="66" t="str">
        <f aca="false">IF(C496="","",IFERROR(1/(1/INDEX(Clients!$H$6:$H$25,MATCH(C496,Clients!$B$6:$B$25,0))),Settings!$C$10))</f>
        <v/>
      </c>
      <c r="G496" s="77" t="str">
        <f aca="false">IF(OR(B496="",F496=""),"",B496+F496)</f>
        <v/>
      </c>
      <c r="H496" s="65"/>
      <c r="I496" s="76"/>
      <c r="J496" s="51"/>
      <c r="K496" s="73" t="str">
        <f aca="false">IF(E496="","",E496-N(I496))</f>
        <v/>
      </c>
      <c r="L496" s="78" t="str">
        <f aca="true">IF(E496="","",IF(K496&lt;=0,"Paid",IF(AND(G496&lt;&gt;"",TODAY()&gt;G496),"Overdue",IF(N(I496)&gt;0,"Partial","Open"))))</f>
        <v/>
      </c>
      <c r="M496" s="66" t="str">
        <f aca="true">IF(OR(E496="",G496=""),"",IF(K496&lt;=0,IF(H496="","",MAX(0,H496-G496)),MAX(0,TODAY()-G496)))</f>
        <v/>
      </c>
      <c r="N496" s="78" t="str">
        <f aca="true">IF(OR(E496="",G496=""),"",IF(K496&lt;=0,"",IF(TODAY()&lt;=G496,"Not due yet",IF(TODAY()-G496&lt;=30,"1-30 days late",IF(TODAY()-G496&lt;=60,"31-60 days late",IF(TODAY()-G496&lt;=90,"61-90 days late","90+ days late"))))))</f>
        <v/>
      </c>
      <c r="O496" s="66" t="str">
        <f aca="false">IF(OR(H496="",B496="",K496&gt;0),"",H496-B496)</f>
        <v/>
      </c>
    </row>
    <row r="497" customFormat="false" ht="15" hidden="false" customHeight="false" outlineLevel="0" collapsed="false">
      <c r="A497" s="51"/>
      <c r="B497" s="65"/>
      <c r="C497" s="51"/>
      <c r="D497" s="51"/>
      <c r="E497" s="76"/>
      <c r="F497" s="66" t="str">
        <f aca="false">IF(C497="","",IFERROR(1/(1/INDEX(Clients!$H$6:$H$25,MATCH(C497,Clients!$B$6:$B$25,0))),Settings!$C$10))</f>
        <v/>
      </c>
      <c r="G497" s="77" t="str">
        <f aca="false">IF(OR(B497="",F497=""),"",B497+F497)</f>
        <v/>
      </c>
      <c r="H497" s="65"/>
      <c r="I497" s="76"/>
      <c r="J497" s="51"/>
      <c r="K497" s="73" t="str">
        <f aca="false">IF(E497="","",E497-N(I497))</f>
        <v/>
      </c>
      <c r="L497" s="78" t="str">
        <f aca="true">IF(E497="","",IF(K497&lt;=0,"Paid",IF(AND(G497&lt;&gt;"",TODAY()&gt;G497),"Overdue",IF(N(I497)&gt;0,"Partial","Open"))))</f>
        <v/>
      </c>
      <c r="M497" s="66" t="str">
        <f aca="true">IF(OR(E497="",G497=""),"",IF(K497&lt;=0,IF(H497="","",MAX(0,H497-G497)),MAX(0,TODAY()-G497)))</f>
        <v/>
      </c>
      <c r="N497" s="78" t="str">
        <f aca="true">IF(OR(E497="",G497=""),"",IF(K497&lt;=0,"",IF(TODAY()&lt;=G497,"Not due yet",IF(TODAY()-G497&lt;=30,"1-30 days late",IF(TODAY()-G497&lt;=60,"31-60 days late",IF(TODAY()-G497&lt;=90,"61-90 days late","90+ days late"))))))</f>
        <v/>
      </c>
      <c r="O497" s="66" t="str">
        <f aca="false">IF(OR(H497="",B497="",K497&gt;0),"",H497-B497)</f>
        <v/>
      </c>
    </row>
    <row r="498" customFormat="false" ht="15" hidden="false" customHeight="false" outlineLevel="0" collapsed="false">
      <c r="A498" s="51"/>
      <c r="B498" s="65"/>
      <c r="C498" s="51"/>
      <c r="D498" s="51"/>
      <c r="E498" s="76"/>
      <c r="F498" s="66" t="str">
        <f aca="false">IF(C498="","",IFERROR(1/(1/INDEX(Clients!$H$6:$H$25,MATCH(C498,Clients!$B$6:$B$25,0))),Settings!$C$10))</f>
        <v/>
      </c>
      <c r="G498" s="77" t="str">
        <f aca="false">IF(OR(B498="",F498=""),"",B498+F498)</f>
        <v/>
      </c>
      <c r="H498" s="65"/>
      <c r="I498" s="76"/>
      <c r="J498" s="51"/>
      <c r="K498" s="73" t="str">
        <f aca="false">IF(E498="","",E498-N(I498))</f>
        <v/>
      </c>
      <c r="L498" s="78" t="str">
        <f aca="true">IF(E498="","",IF(K498&lt;=0,"Paid",IF(AND(G498&lt;&gt;"",TODAY()&gt;G498),"Overdue",IF(N(I498)&gt;0,"Partial","Open"))))</f>
        <v/>
      </c>
      <c r="M498" s="66" t="str">
        <f aca="true">IF(OR(E498="",G498=""),"",IF(K498&lt;=0,IF(H498="","",MAX(0,H498-G498)),MAX(0,TODAY()-G498)))</f>
        <v/>
      </c>
      <c r="N498" s="78" t="str">
        <f aca="true">IF(OR(E498="",G498=""),"",IF(K498&lt;=0,"",IF(TODAY()&lt;=G498,"Not due yet",IF(TODAY()-G498&lt;=30,"1-30 days late",IF(TODAY()-G498&lt;=60,"31-60 days late",IF(TODAY()-G498&lt;=90,"61-90 days late","90+ days late"))))))</f>
        <v/>
      </c>
      <c r="O498" s="66" t="str">
        <f aca="false">IF(OR(H498="",B498="",K498&gt;0),"",H498-B498)</f>
        <v/>
      </c>
    </row>
    <row r="499" customFormat="false" ht="15" hidden="false" customHeight="false" outlineLevel="0" collapsed="false">
      <c r="A499" s="51"/>
      <c r="B499" s="65"/>
      <c r="C499" s="51"/>
      <c r="D499" s="51"/>
      <c r="E499" s="76"/>
      <c r="F499" s="66" t="str">
        <f aca="false">IF(C499="","",IFERROR(1/(1/INDEX(Clients!$H$6:$H$25,MATCH(C499,Clients!$B$6:$B$25,0))),Settings!$C$10))</f>
        <v/>
      </c>
      <c r="G499" s="77" t="str">
        <f aca="false">IF(OR(B499="",F499=""),"",B499+F499)</f>
        <v/>
      </c>
      <c r="H499" s="65"/>
      <c r="I499" s="76"/>
      <c r="J499" s="51"/>
      <c r="K499" s="73" t="str">
        <f aca="false">IF(E499="","",E499-N(I499))</f>
        <v/>
      </c>
      <c r="L499" s="78" t="str">
        <f aca="true">IF(E499="","",IF(K499&lt;=0,"Paid",IF(AND(G499&lt;&gt;"",TODAY()&gt;G499),"Overdue",IF(N(I499)&gt;0,"Partial","Open"))))</f>
        <v/>
      </c>
      <c r="M499" s="66" t="str">
        <f aca="true">IF(OR(E499="",G499=""),"",IF(K499&lt;=0,IF(H499="","",MAX(0,H499-G499)),MAX(0,TODAY()-G499)))</f>
        <v/>
      </c>
      <c r="N499" s="78" t="str">
        <f aca="true">IF(OR(E499="",G499=""),"",IF(K499&lt;=0,"",IF(TODAY()&lt;=G499,"Not due yet",IF(TODAY()-G499&lt;=30,"1-30 days late",IF(TODAY()-G499&lt;=60,"31-60 days late",IF(TODAY()-G499&lt;=90,"61-90 days late","90+ days late"))))))</f>
        <v/>
      </c>
      <c r="O499" s="66" t="str">
        <f aca="false">IF(OR(H499="",B499="",K499&gt;0),"",H499-B499)</f>
        <v/>
      </c>
    </row>
    <row r="500" customFormat="false" ht="15" hidden="false" customHeight="false" outlineLevel="0" collapsed="false">
      <c r="A500" s="51"/>
      <c r="B500" s="65"/>
      <c r="C500" s="51"/>
      <c r="D500" s="51"/>
      <c r="E500" s="76"/>
      <c r="F500" s="66" t="str">
        <f aca="false">IF(C500="","",IFERROR(1/(1/INDEX(Clients!$H$6:$H$25,MATCH(C500,Clients!$B$6:$B$25,0))),Settings!$C$10))</f>
        <v/>
      </c>
      <c r="G500" s="77" t="str">
        <f aca="false">IF(OR(B500="",F500=""),"",B500+F500)</f>
        <v/>
      </c>
      <c r="H500" s="65"/>
      <c r="I500" s="76"/>
      <c r="J500" s="51"/>
      <c r="K500" s="73" t="str">
        <f aca="false">IF(E500="","",E500-N(I500))</f>
        <v/>
      </c>
      <c r="L500" s="78" t="str">
        <f aca="true">IF(E500="","",IF(K500&lt;=0,"Paid",IF(AND(G500&lt;&gt;"",TODAY()&gt;G500),"Overdue",IF(N(I500)&gt;0,"Partial","Open"))))</f>
        <v/>
      </c>
      <c r="M500" s="66" t="str">
        <f aca="true">IF(OR(E500="",G500=""),"",IF(K500&lt;=0,IF(H500="","",MAX(0,H500-G500)),MAX(0,TODAY()-G500)))</f>
        <v/>
      </c>
      <c r="N500" s="78" t="str">
        <f aca="true">IF(OR(E500="",G500=""),"",IF(K500&lt;=0,"",IF(TODAY()&lt;=G500,"Not due yet",IF(TODAY()-G500&lt;=30,"1-30 days late",IF(TODAY()-G500&lt;=60,"31-60 days late",IF(TODAY()-G500&lt;=90,"61-90 days late","90+ days late"))))))</f>
        <v/>
      </c>
      <c r="O500" s="66" t="str">
        <f aca="false">IF(OR(H500="",B500="",K500&gt;0),"",H500-B500)</f>
        <v/>
      </c>
    </row>
    <row r="501" customFormat="false" ht="15" hidden="false" customHeight="false" outlineLevel="0" collapsed="false">
      <c r="A501" s="51"/>
      <c r="B501" s="65"/>
      <c r="C501" s="51"/>
      <c r="D501" s="51"/>
      <c r="E501" s="76"/>
      <c r="F501" s="66" t="str">
        <f aca="false">IF(C501="","",IFERROR(1/(1/INDEX(Clients!$H$6:$H$25,MATCH(C501,Clients!$B$6:$B$25,0))),Settings!$C$10))</f>
        <v/>
      </c>
      <c r="G501" s="77" t="str">
        <f aca="false">IF(OR(B501="",F501=""),"",B501+F501)</f>
        <v/>
      </c>
      <c r="H501" s="65"/>
      <c r="I501" s="76"/>
      <c r="J501" s="51"/>
      <c r="K501" s="73" t="str">
        <f aca="false">IF(E501="","",E501-N(I501))</f>
        <v/>
      </c>
      <c r="L501" s="78" t="str">
        <f aca="true">IF(E501="","",IF(K501&lt;=0,"Paid",IF(AND(G501&lt;&gt;"",TODAY()&gt;G501),"Overdue",IF(N(I501)&gt;0,"Partial","Open"))))</f>
        <v/>
      </c>
      <c r="M501" s="66" t="str">
        <f aca="true">IF(OR(E501="",G501=""),"",IF(K501&lt;=0,IF(H501="","",MAX(0,H501-G501)),MAX(0,TODAY()-G501)))</f>
        <v/>
      </c>
      <c r="N501" s="78" t="str">
        <f aca="true">IF(OR(E501="",G501=""),"",IF(K501&lt;=0,"",IF(TODAY()&lt;=G501,"Not due yet",IF(TODAY()-G501&lt;=30,"1-30 days late",IF(TODAY()-G501&lt;=60,"31-60 days late",IF(TODAY()-G501&lt;=90,"61-90 days late","90+ days late"))))))</f>
        <v/>
      </c>
      <c r="O501" s="66" t="str">
        <f aca="false">IF(OR(H501="",B501="",K501&gt;0),"",H501-B501)</f>
        <v/>
      </c>
    </row>
    <row r="502" customFormat="false" ht="15" hidden="false" customHeight="false" outlineLevel="0" collapsed="false">
      <c r="A502" s="51"/>
      <c r="B502" s="65"/>
      <c r="C502" s="51"/>
      <c r="D502" s="51"/>
      <c r="E502" s="76"/>
      <c r="F502" s="66" t="str">
        <f aca="false">IF(C502="","",IFERROR(1/(1/INDEX(Clients!$H$6:$H$25,MATCH(C502,Clients!$B$6:$B$25,0))),Settings!$C$10))</f>
        <v/>
      </c>
      <c r="G502" s="77" t="str">
        <f aca="false">IF(OR(B502="",F502=""),"",B502+F502)</f>
        <v/>
      </c>
      <c r="H502" s="65"/>
      <c r="I502" s="76"/>
      <c r="J502" s="51"/>
      <c r="K502" s="73" t="str">
        <f aca="false">IF(E502="","",E502-N(I502))</f>
        <v/>
      </c>
      <c r="L502" s="78" t="str">
        <f aca="true">IF(E502="","",IF(K502&lt;=0,"Paid",IF(AND(G502&lt;&gt;"",TODAY()&gt;G502),"Overdue",IF(N(I502)&gt;0,"Partial","Open"))))</f>
        <v/>
      </c>
      <c r="M502" s="66" t="str">
        <f aca="true">IF(OR(E502="",G502=""),"",IF(K502&lt;=0,IF(H502="","",MAX(0,H502-G502)),MAX(0,TODAY()-G502)))</f>
        <v/>
      </c>
      <c r="N502" s="78" t="str">
        <f aca="true">IF(OR(E502="",G502=""),"",IF(K502&lt;=0,"",IF(TODAY()&lt;=G502,"Not due yet",IF(TODAY()-G502&lt;=30,"1-30 days late",IF(TODAY()-G502&lt;=60,"31-60 days late",IF(TODAY()-G502&lt;=90,"61-90 days late","90+ days late"))))))</f>
        <v/>
      </c>
      <c r="O502" s="66" t="str">
        <f aca="false">IF(OR(H502="",B502="",K502&gt;0),"",H502-B502)</f>
        <v/>
      </c>
    </row>
    <row r="503" customFormat="false" ht="15" hidden="false" customHeight="false" outlineLevel="0" collapsed="false">
      <c r="A503" s="51"/>
      <c r="B503" s="65"/>
      <c r="C503" s="51"/>
      <c r="D503" s="51"/>
      <c r="E503" s="76"/>
      <c r="F503" s="66" t="str">
        <f aca="false">IF(C503="","",IFERROR(1/(1/INDEX(Clients!$H$6:$H$25,MATCH(C503,Clients!$B$6:$B$25,0))),Settings!$C$10))</f>
        <v/>
      </c>
      <c r="G503" s="77" t="str">
        <f aca="false">IF(OR(B503="",F503=""),"",B503+F503)</f>
        <v/>
      </c>
      <c r="H503" s="65"/>
      <c r="I503" s="76"/>
      <c r="J503" s="51"/>
      <c r="K503" s="73" t="str">
        <f aca="false">IF(E503="","",E503-N(I503))</f>
        <v/>
      </c>
      <c r="L503" s="78" t="str">
        <f aca="true">IF(E503="","",IF(K503&lt;=0,"Paid",IF(AND(G503&lt;&gt;"",TODAY()&gt;G503),"Overdue",IF(N(I503)&gt;0,"Partial","Open"))))</f>
        <v/>
      </c>
      <c r="M503" s="66" t="str">
        <f aca="true">IF(OR(E503="",G503=""),"",IF(K503&lt;=0,IF(H503="","",MAX(0,H503-G503)),MAX(0,TODAY()-G503)))</f>
        <v/>
      </c>
      <c r="N503" s="78" t="str">
        <f aca="true">IF(OR(E503="",G503=""),"",IF(K503&lt;=0,"",IF(TODAY()&lt;=G503,"Not due yet",IF(TODAY()-G503&lt;=30,"1-30 days late",IF(TODAY()-G503&lt;=60,"31-60 days late",IF(TODAY()-G503&lt;=90,"61-90 days late","90+ days late"))))))</f>
        <v/>
      </c>
      <c r="O503" s="66" t="str">
        <f aca="false">IF(OR(H503="",B503="",K503&gt;0),"",H503-B503)</f>
        <v/>
      </c>
    </row>
    <row r="504" customFormat="false" ht="15" hidden="false" customHeight="false" outlineLevel="0" collapsed="false">
      <c r="A504" s="51"/>
      <c r="B504" s="65"/>
      <c r="C504" s="51"/>
      <c r="D504" s="51"/>
      <c r="E504" s="76"/>
      <c r="F504" s="66" t="str">
        <f aca="false">IF(C504="","",IFERROR(1/(1/INDEX(Clients!$H$6:$H$25,MATCH(C504,Clients!$B$6:$B$25,0))),Settings!$C$10))</f>
        <v/>
      </c>
      <c r="G504" s="77" t="str">
        <f aca="false">IF(OR(B504="",F504=""),"",B504+F504)</f>
        <v/>
      </c>
      <c r="H504" s="65"/>
      <c r="I504" s="76"/>
      <c r="J504" s="51"/>
      <c r="K504" s="73" t="str">
        <f aca="false">IF(E504="","",E504-N(I504))</f>
        <v/>
      </c>
      <c r="L504" s="78" t="str">
        <f aca="true">IF(E504="","",IF(K504&lt;=0,"Paid",IF(AND(G504&lt;&gt;"",TODAY()&gt;G504),"Overdue",IF(N(I504)&gt;0,"Partial","Open"))))</f>
        <v/>
      </c>
      <c r="M504" s="66" t="str">
        <f aca="true">IF(OR(E504="",G504=""),"",IF(K504&lt;=0,IF(H504="","",MAX(0,H504-G504)),MAX(0,TODAY()-G504)))</f>
        <v/>
      </c>
      <c r="N504" s="78" t="str">
        <f aca="true">IF(OR(E504="",G504=""),"",IF(K504&lt;=0,"",IF(TODAY()&lt;=G504,"Not due yet",IF(TODAY()-G504&lt;=30,"1-30 days late",IF(TODAY()-G504&lt;=60,"31-60 days late",IF(TODAY()-G504&lt;=90,"61-90 days late","90+ days late"))))))</f>
        <v/>
      </c>
      <c r="O504" s="66" t="str">
        <f aca="false">IF(OR(H504="",B504="",K504&gt;0),"",H504-B504)</f>
        <v/>
      </c>
    </row>
    <row r="505" customFormat="false" ht="15" hidden="false" customHeight="false" outlineLevel="0" collapsed="false">
      <c r="A505" s="51"/>
      <c r="B505" s="65"/>
      <c r="C505" s="51"/>
      <c r="D505" s="51"/>
      <c r="E505" s="76"/>
      <c r="F505" s="66" t="str">
        <f aca="false">IF(C505="","",IFERROR(1/(1/INDEX(Clients!$H$6:$H$25,MATCH(C505,Clients!$B$6:$B$25,0))),Settings!$C$10))</f>
        <v/>
      </c>
      <c r="G505" s="77" t="str">
        <f aca="false">IF(OR(B505="",F505=""),"",B505+F505)</f>
        <v/>
      </c>
      <c r="H505" s="65"/>
      <c r="I505" s="76"/>
      <c r="J505" s="51"/>
      <c r="K505" s="73" t="str">
        <f aca="false">IF(E505="","",E505-N(I505))</f>
        <v/>
      </c>
      <c r="L505" s="78" t="str">
        <f aca="true">IF(E505="","",IF(K505&lt;=0,"Paid",IF(AND(G505&lt;&gt;"",TODAY()&gt;G505),"Overdue",IF(N(I505)&gt;0,"Partial","Open"))))</f>
        <v/>
      </c>
      <c r="M505" s="66" t="str">
        <f aca="true">IF(OR(E505="",G505=""),"",IF(K505&lt;=0,IF(H505="","",MAX(0,H505-G505)),MAX(0,TODAY()-G505)))</f>
        <v/>
      </c>
      <c r="N505" s="78" t="str">
        <f aca="true">IF(OR(E505="",G505=""),"",IF(K505&lt;=0,"",IF(TODAY()&lt;=G505,"Not due yet",IF(TODAY()-G505&lt;=30,"1-30 days late",IF(TODAY()-G505&lt;=60,"31-60 days late",IF(TODAY()-G505&lt;=90,"61-90 days late","90+ days late"))))))</f>
        <v/>
      </c>
      <c r="O505" s="66" t="str">
        <f aca="false">IF(OR(H505="",B505="",K505&gt;0),"",H505-B505)</f>
        <v/>
      </c>
    </row>
  </sheetData>
  <mergeCells count="1">
    <mergeCell ref="Q13:R16"/>
  </mergeCells>
  <conditionalFormatting sqref="L6:L505">
    <cfRule type="expression" priority="2" aboveAverage="0" equalAverage="0" bottom="0" percent="0" rank="0" text="" dxfId="1">
      <formula>L6="Paid"</formula>
    </cfRule>
    <cfRule type="expression" priority="3" aboveAverage="0" equalAverage="0" bottom="0" percent="0" rank="0" text="" dxfId="0">
      <formula>L6="Overdue"</formula>
    </cfRule>
    <cfRule type="expression" priority="4" aboveAverage="0" equalAverage="0" bottom="0" percent="0" rank="0" text="" dxfId="2">
      <formula>L6="Partial"</formula>
    </cfRule>
    <cfRule type="expression" priority="5" aboveAverage="0" equalAverage="0" bottom="0" percent="0" rank="0" text="" dxfId="3">
      <formula>L6="Open"</formula>
    </cfRule>
  </conditionalFormatting>
  <dataValidations count="2">
    <dataValidation allowBlank="true" errorStyle="stop" operator="between" showDropDown="false" showErrorMessage="false" showInputMessage="false" sqref="C6:C505" type="list">
      <formula1>Settings!$O$17:$O$36</formula1>
      <formula2>0</formula2>
    </dataValidation>
    <dataValidation allowBlank="true" errorStyle="stop" operator="between" showDropDown="false" showErrorMessage="false" showInputMessage="false" sqref="J6:J505" type="list">
      <formula1>Settings!$I$16:$I$21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J8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2"/>
    <col collapsed="false" customWidth="true" hidden="false" outlineLevel="0" max="3" min="3" style="0" width="32"/>
    <col collapsed="false" customWidth="true" hidden="false" outlineLevel="0" max="4" min="4" style="0" width="24"/>
    <col collapsed="false" customWidth="true" hidden="false" outlineLevel="0" max="5" min="5" style="0" width="22"/>
    <col collapsed="false" customWidth="true" hidden="false" outlineLevel="0" max="6" min="6" style="0" width="11"/>
    <col collapsed="false" customWidth="true" hidden="false" outlineLevel="0" max="7" min="7" style="0" width="18"/>
    <col collapsed="false" customWidth="true" hidden="false" outlineLevel="0" max="8" min="8" style="0" width="10"/>
    <col collapsed="false" customWidth="true" hidden="false" outlineLevel="0" max="9" min="9" style="0" width="22"/>
    <col collapsed="false" customWidth="true" hidden="false" outlineLevel="0" max="10" min="10" style="0" width="26"/>
  </cols>
  <sheetData>
    <row r="1" customFormat="false" ht="22.05" hidden="false" customHeight="false" outlineLevel="0" collapsed="false">
      <c r="A1" s="48" t="s">
        <v>320</v>
      </c>
    </row>
    <row r="2" customFormat="false" ht="15" hidden="false" customHeight="false" outlineLevel="0" collapsed="false">
      <c r="A2" s="49" t="s">
        <v>321</v>
      </c>
    </row>
    <row r="3" customFormat="false" ht="15" hidden="false" customHeight="false" outlineLevel="0" collapsed="false">
      <c r="A3" s="68" t="s">
        <v>322</v>
      </c>
      <c r="C3" s="68" t="s">
        <v>70</v>
      </c>
      <c r="F3" s="68" t="s">
        <v>323</v>
      </c>
      <c r="H3" s="68" t="s">
        <v>324</v>
      </c>
    </row>
    <row r="4" customFormat="false" ht="15" hidden="false" customHeight="false" outlineLevel="0" collapsed="false">
      <c r="A4" s="71" t="n">
        <f aca="false">SUM(F6:F805)</f>
        <v>81197.85</v>
      </c>
      <c r="C4" s="71" t="n">
        <f aca="false">SUM(F6:F805)-SUMIFS(F6:F805,E6:E805,Settings!$G$19)</f>
        <v>27197.85</v>
      </c>
      <c r="F4" s="74" t="n">
        <f aca="false">COUNTIFS(H6:H805,"No",F6:F805,"&lt;&gt;")</f>
        <v>3</v>
      </c>
      <c r="H4" s="74" t="n">
        <f aca="false">COUNTIF(E6:E805,"Check category")+COUNTIFS(D6:D805,"",F6:F805,"&lt;&gt;")</f>
        <v>0</v>
      </c>
    </row>
    <row r="5" customFormat="false" ht="33.75" hidden="false" customHeight="true" outlineLevel="0" collapsed="false">
      <c r="A5" s="56" t="s">
        <v>239</v>
      </c>
      <c r="B5" s="57" t="s">
        <v>325</v>
      </c>
      <c r="C5" s="57" t="s">
        <v>326</v>
      </c>
      <c r="D5" s="57" t="s">
        <v>327</v>
      </c>
      <c r="E5" s="57" t="s">
        <v>97</v>
      </c>
      <c r="F5" s="57" t="s">
        <v>279</v>
      </c>
      <c r="G5" s="57" t="s">
        <v>328</v>
      </c>
      <c r="H5" s="57" t="s">
        <v>329</v>
      </c>
      <c r="I5" s="57" t="s">
        <v>330</v>
      </c>
      <c r="J5" s="57" t="s">
        <v>245</v>
      </c>
    </row>
    <row r="6" customFormat="false" ht="15" hidden="false" customHeight="false" outlineLevel="0" collapsed="false">
      <c r="A6" s="65" t="n">
        <v>46023</v>
      </c>
      <c r="B6" s="51" t="s">
        <v>331</v>
      </c>
      <c r="C6" s="51" t="s">
        <v>332</v>
      </c>
      <c r="D6" s="51" t="s">
        <v>126</v>
      </c>
      <c r="E6" s="60" t="str">
        <f aca="false">IF(D6="","",IFERROR(INDEX(Settings!$C$16:$C$45,MATCH(D6,Settings!$B$16:$B$45,0)),"Check category"))</f>
        <v>Overhead</v>
      </c>
      <c r="F6" s="76" t="n">
        <v>550</v>
      </c>
      <c r="G6" s="51" t="s">
        <v>113</v>
      </c>
      <c r="H6" s="51" t="s">
        <v>247</v>
      </c>
      <c r="I6" s="51"/>
      <c r="J6" s="51"/>
    </row>
    <row r="7" customFormat="false" ht="15" hidden="false" customHeight="false" outlineLevel="0" collapsed="false">
      <c r="A7" s="65" t="n">
        <v>46024</v>
      </c>
      <c r="B7" s="51" t="s">
        <v>333</v>
      </c>
      <c r="C7" s="51" t="s">
        <v>334</v>
      </c>
      <c r="D7" s="51" t="s">
        <v>142</v>
      </c>
      <c r="E7" s="60" t="str">
        <f aca="false">IF(D7="","",IFERROR(INDEX(Settings!$C$16:$C$45,MATCH(D7,Settings!$B$16:$B$45,0)),"Check category"))</f>
        <v>Overhead</v>
      </c>
      <c r="F7" s="76" t="n">
        <v>38</v>
      </c>
      <c r="G7" s="51" t="s">
        <v>335</v>
      </c>
      <c r="H7" s="51" t="s">
        <v>247</v>
      </c>
      <c r="I7" s="51"/>
      <c r="J7" s="51"/>
    </row>
    <row r="8" customFormat="false" ht="15" hidden="false" customHeight="false" outlineLevel="0" collapsed="false">
      <c r="A8" s="65" t="n">
        <v>46024</v>
      </c>
      <c r="B8" s="51" t="s">
        <v>336</v>
      </c>
      <c r="C8" s="51" t="s">
        <v>337</v>
      </c>
      <c r="D8" s="51" t="s">
        <v>142</v>
      </c>
      <c r="E8" s="60" t="str">
        <f aca="false">IF(D8="","",IFERROR(INDEX(Settings!$C$16:$C$45,MATCH(D8,Settings!$B$16:$B$45,0)),"Check category"))</f>
        <v>Overhead</v>
      </c>
      <c r="F8" s="76" t="n">
        <v>22</v>
      </c>
      <c r="G8" s="51" t="s">
        <v>335</v>
      </c>
      <c r="H8" s="51" t="s">
        <v>247</v>
      </c>
      <c r="I8" s="51"/>
      <c r="J8" s="51"/>
    </row>
    <row r="9" customFormat="false" ht="15" hidden="false" customHeight="false" outlineLevel="0" collapsed="false">
      <c r="A9" s="65" t="n">
        <v>46025</v>
      </c>
      <c r="B9" s="51" t="s">
        <v>338</v>
      </c>
      <c r="C9" s="51" t="s">
        <v>339</v>
      </c>
      <c r="D9" s="51" t="s">
        <v>142</v>
      </c>
      <c r="E9" s="60" t="str">
        <f aca="false">IF(D9="","",IFERROR(INDEX(Settings!$C$16:$C$45,MATCH(D9,Settings!$B$16:$B$45,0)),"Check category"))</f>
        <v>Overhead</v>
      </c>
      <c r="F9" s="76" t="n">
        <v>15</v>
      </c>
      <c r="G9" s="51" t="s">
        <v>335</v>
      </c>
      <c r="H9" s="51" t="s">
        <v>247</v>
      </c>
      <c r="I9" s="51"/>
      <c r="J9" s="51"/>
    </row>
    <row r="10" customFormat="false" ht="15" hidden="false" customHeight="false" outlineLevel="0" collapsed="false">
      <c r="A10" s="65" t="n">
        <v>46026</v>
      </c>
      <c r="B10" s="51" t="s">
        <v>340</v>
      </c>
      <c r="C10" s="51" t="s">
        <v>341</v>
      </c>
      <c r="D10" s="51" t="s">
        <v>142</v>
      </c>
      <c r="E10" s="60" t="str">
        <f aca="false">IF(D10="","",IFERROR(INDEX(Settings!$C$16:$C$45,MATCH(D10,Settings!$B$16:$B$45,0)),"Check category"))</f>
        <v>Overhead</v>
      </c>
      <c r="F10" s="76" t="n">
        <v>20</v>
      </c>
      <c r="G10" s="51" t="s">
        <v>335</v>
      </c>
      <c r="H10" s="51" t="s">
        <v>247</v>
      </c>
      <c r="I10" s="51"/>
      <c r="J10" s="51"/>
    </row>
    <row r="11" customFormat="false" ht="15" hidden="false" customHeight="false" outlineLevel="0" collapsed="false">
      <c r="A11" s="65" t="n">
        <v>46026</v>
      </c>
      <c r="B11" s="51" t="s">
        <v>342</v>
      </c>
      <c r="C11" s="51" t="s">
        <v>343</v>
      </c>
      <c r="D11" s="51" t="s">
        <v>142</v>
      </c>
      <c r="E11" s="60" t="str">
        <f aca="false">IF(D11="","",IFERROR(INDEX(Settings!$C$16:$C$45,MATCH(D11,Settings!$B$16:$B$45,0)),"Check category"))</f>
        <v>Overhead</v>
      </c>
      <c r="F11" s="76" t="n">
        <v>12</v>
      </c>
      <c r="G11" s="51" t="s">
        <v>335</v>
      </c>
      <c r="H11" s="51" t="s">
        <v>247</v>
      </c>
      <c r="I11" s="51"/>
      <c r="J11" s="51"/>
    </row>
    <row r="12" customFormat="false" ht="15" hidden="false" customHeight="false" outlineLevel="0" collapsed="false">
      <c r="A12" s="65" t="n">
        <v>46027</v>
      </c>
      <c r="B12" s="51" t="s">
        <v>344</v>
      </c>
      <c r="C12" s="51" t="s">
        <v>345</v>
      </c>
      <c r="D12" s="51" t="s">
        <v>134</v>
      </c>
      <c r="E12" s="60" t="str">
        <f aca="false">IF(D12="","",IFERROR(INDEX(Settings!$C$16:$C$45,MATCH(D12,Settings!$B$16:$B$45,0)),"Check category"))</f>
        <v>Overhead</v>
      </c>
      <c r="F12" s="76" t="n">
        <v>73.4</v>
      </c>
      <c r="G12" s="51" t="s">
        <v>130</v>
      </c>
      <c r="H12" s="51" t="s">
        <v>247</v>
      </c>
      <c r="I12" s="51"/>
      <c r="J12" s="51"/>
    </row>
    <row r="13" customFormat="false" ht="15" hidden="false" customHeight="false" outlineLevel="0" collapsed="false">
      <c r="A13" s="65" t="n">
        <v>46028</v>
      </c>
      <c r="B13" s="51" t="s">
        <v>346</v>
      </c>
      <c r="C13" s="51" t="s">
        <v>347</v>
      </c>
      <c r="D13" s="51" t="s">
        <v>134</v>
      </c>
      <c r="E13" s="60" t="str">
        <f aca="false">IF(D13="","",IFERROR(INDEX(Settings!$C$16:$C$45,MATCH(D13,Settings!$B$16:$B$45,0)),"Check category"))</f>
        <v>Overhead</v>
      </c>
      <c r="F13" s="76" t="n">
        <v>65</v>
      </c>
      <c r="G13" s="51" t="s">
        <v>130</v>
      </c>
      <c r="H13" s="51" t="s">
        <v>247</v>
      </c>
      <c r="I13" s="51"/>
      <c r="J13" s="51"/>
    </row>
    <row r="14" customFormat="false" ht="15" hidden="false" customHeight="false" outlineLevel="0" collapsed="false">
      <c r="A14" s="65" t="n">
        <v>46030</v>
      </c>
      <c r="B14" s="51" t="s">
        <v>348</v>
      </c>
      <c r="C14" s="51" t="s">
        <v>349</v>
      </c>
      <c r="D14" s="51" t="s">
        <v>138</v>
      </c>
      <c r="E14" s="60" t="str">
        <f aca="false">IF(D14="","",IFERROR(INDEX(Settings!$C$16:$C$45,MATCH(D14,Settings!$B$16:$B$45,0)),"Check category"))</f>
        <v>Overhead</v>
      </c>
      <c r="F14" s="76" t="n">
        <v>85</v>
      </c>
      <c r="G14" s="51" t="s">
        <v>335</v>
      </c>
      <c r="H14" s="51" t="s">
        <v>247</v>
      </c>
      <c r="I14" s="51"/>
      <c r="J14" s="51"/>
    </row>
    <row r="15" customFormat="false" ht="15" hidden="false" customHeight="false" outlineLevel="0" collapsed="false">
      <c r="A15" s="65" t="n">
        <v>46030</v>
      </c>
      <c r="B15" s="51" t="s">
        <v>350</v>
      </c>
      <c r="C15" s="51" t="s">
        <v>351</v>
      </c>
      <c r="D15" s="51" t="s">
        <v>151</v>
      </c>
      <c r="E15" s="60" t="str">
        <f aca="false">IF(D15="","",IFERROR(INDEX(Settings!$C$16:$C$45,MATCH(D15,Settings!$B$16:$B$45,0)),"Check category"))</f>
        <v>Overhead</v>
      </c>
      <c r="F15" s="76" t="n">
        <v>350</v>
      </c>
      <c r="G15" s="51" t="s">
        <v>335</v>
      </c>
      <c r="H15" s="51" t="s">
        <v>247</v>
      </c>
      <c r="I15" s="51"/>
      <c r="J15" s="51"/>
    </row>
    <row r="16" customFormat="false" ht="15" hidden="false" customHeight="false" outlineLevel="0" collapsed="false">
      <c r="A16" s="65" t="n">
        <v>46032</v>
      </c>
      <c r="B16" s="51" t="s">
        <v>352</v>
      </c>
      <c r="C16" s="51" t="s">
        <v>353</v>
      </c>
      <c r="D16" s="51" t="s">
        <v>147</v>
      </c>
      <c r="E16" s="60" t="str">
        <f aca="false">IF(D16="","",IFERROR(INDEX(Settings!$C$16:$C$45,MATCH(D16,Settings!$B$16:$B$45,0)),"Check category"))</f>
        <v>Overhead</v>
      </c>
      <c r="F16" s="76" t="n">
        <v>145</v>
      </c>
      <c r="G16" s="51" t="s">
        <v>113</v>
      </c>
      <c r="H16" s="51" t="s">
        <v>247</v>
      </c>
      <c r="I16" s="51"/>
      <c r="J16" s="51"/>
    </row>
    <row r="17" customFormat="false" ht="15" hidden="false" customHeight="false" outlineLevel="0" collapsed="false">
      <c r="A17" s="65" t="n">
        <v>46034</v>
      </c>
      <c r="B17" s="51" t="s">
        <v>354</v>
      </c>
      <c r="C17" s="51" t="s">
        <v>355</v>
      </c>
      <c r="D17" s="51" t="s">
        <v>168</v>
      </c>
      <c r="E17" s="60" t="str">
        <f aca="false">IF(D17="","",IFERROR(INDEX(Settings!$C$16:$C$45,MATCH(D17,Settings!$B$16:$B$45,0)),"Check category"))</f>
        <v>Marketing &amp; Advertising</v>
      </c>
      <c r="F17" s="76" t="n">
        <v>39</v>
      </c>
      <c r="G17" s="51" t="s">
        <v>335</v>
      </c>
      <c r="H17" s="51" t="s">
        <v>247</v>
      </c>
      <c r="I17" s="51"/>
      <c r="J17" s="51"/>
    </row>
    <row r="18" customFormat="false" ht="15" hidden="false" customHeight="false" outlineLevel="0" collapsed="false">
      <c r="A18" s="65" t="n">
        <v>46034</v>
      </c>
      <c r="B18" s="51" t="s">
        <v>356</v>
      </c>
      <c r="C18" s="51" t="s">
        <v>357</v>
      </c>
      <c r="D18" s="51" t="s">
        <v>168</v>
      </c>
      <c r="E18" s="60" t="str">
        <f aca="false">IF(D18="","",IFERROR(INDEX(Settings!$C$16:$C$45,MATCH(D18,Settings!$B$16:$B$45,0)),"Check category"))</f>
        <v>Marketing &amp; Advertising</v>
      </c>
      <c r="F18" s="76" t="n">
        <v>20</v>
      </c>
      <c r="G18" s="51" t="s">
        <v>335</v>
      </c>
      <c r="H18" s="51" t="s">
        <v>247</v>
      </c>
      <c r="I18" s="51"/>
      <c r="J18" s="51"/>
    </row>
    <row r="19" customFormat="false" ht="15" hidden="false" customHeight="false" outlineLevel="0" collapsed="false">
      <c r="A19" s="65" t="n">
        <v>46036</v>
      </c>
      <c r="B19" s="51" t="s">
        <v>358</v>
      </c>
      <c r="C19" s="51" t="s">
        <v>359</v>
      </c>
      <c r="D19" s="51" t="s">
        <v>156</v>
      </c>
      <c r="E19" s="60" t="str">
        <f aca="false">IF(D19="","",IFERROR(INDEX(Settings!$C$16:$C$45,MATCH(D19,Settings!$B$16:$B$45,0)),"Check category"))</f>
        <v>Overhead</v>
      </c>
      <c r="F19" s="76" t="n">
        <v>44.2</v>
      </c>
      <c r="G19" s="51" t="s">
        <v>335</v>
      </c>
      <c r="H19" s="51" t="s">
        <v>247</v>
      </c>
      <c r="I19" s="51"/>
      <c r="J19" s="51"/>
    </row>
    <row r="20" customFormat="false" ht="15" hidden="false" customHeight="false" outlineLevel="0" collapsed="false">
      <c r="A20" s="65" t="n">
        <v>46036</v>
      </c>
      <c r="B20" s="51" t="s">
        <v>360</v>
      </c>
      <c r="C20" s="51" t="s">
        <v>361</v>
      </c>
      <c r="D20" s="51" t="s">
        <v>172</v>
      </c>
      <c r="E20" s="60" t="str">
        <f aca="false">IF(D20="","",IFERROR(INDEX(Settings!$C$16:$C$45,MATCH(D20,Settings!$B$16:$B$45,0)),"Check category"))</f>
        <v>Marketing &amp; Advertising</v>
      </c>
      <c r="F20" s="76" t="n">
        <v>400</v>
      </c>
      <c r="G20" s="51" t="s">
        <v>55</v>
      </c>
      <c r="H20" s="51" t="s">
        <v>247</v>
      </c>
      <c r="I20" s="51"/>
      <c r="J20" s="51"/>
    </row>
    <row r="21" customFormat="false" ht="15" hidden="false" customHeight="false" outlineLevel="0" collapsed="false">
      <c r="A21" s="65" t="n">
        <v>46037</v>
      </c>
      <c r="B21" s="51" t="s">
        <v>362</v>
      </c>
      <c r="C21" s="51" t="s">
        <v>363</v>
      </c>
      <c r="D21" s="51" t="s">
        <v>174</v>
      </c>
      <c r="E21" s="60" t="str">
        <f aca="false">IF(D21="","",IFERROR(INDEX(Settings!$C$16:$C$45,MATCH(D21,Settings!$B$16:$B$45,0)),"Check category"))</f>
        <v>Marketing &amp; Advertising</v>
      </c>
      <c r="F21" s="76" t="n">
        <v>29</v>
      </c>
      <c r="G21" s="51" t="s">
        <v>335</v>
      </c>
      <c r="H21" s="51" t="s">
        <v>247</v>
      </c>
      <c r="I21" s="51"/>
      <c r="J21" s="51"/>
    </row>
    <row r="22" customFormat="false" ht="15" hidden="false" customHeight="false" outlineLevel="0" collapsed="false">
      <c r="A22" s="65" t="n">
        <v>46037</v>
      </c>
      <c r="B22" s="51" t="s">
        <v>364</v>
      </c>
      <c r="C22" s="51" t="s">
        <v>365</v>
      </c>
      <c r="D22" s="51" t="s">
        <v>108</v>
      </c>
      <c r="E22" s="60" t="str">
        <f aca="false">IF(D22="","",IFERROR(INDEX(Settings!$C$16:$C$45,MATCH(D22,Settings!$B$16:$B$45,0)),"Check category"))</f>
        <v>Owner Pay &amp; Taxes</v>
      </c>
      <c r="F22" s="76" t="n">
        <v>4500</v>
      </c>
      <c r="G22" s="51" t="s">
        <v>113</v>
      </c>
      <c r="H22" s="51" t="s">
        <v>247</v>
      </c>
      <c r="I22" s="51"/>
      <c r="J22" s="51"/>
    </row>
    <row r="23" customFormat="false" ht="15" hidden="false" customHeight="false" outlineLevel="0" collapsed="false">
      <c r="A23" s="65" t="n">
        <v>46038</v>
      </c>
      <c r="B23" s="51" t="s">
        <v>366</v>
      </c>
      <c r="C23" s="51" t="s">
        <v>367</v>
      </c>
      <c r="D23" s="51" t="s">
        <v>176</v>
      </c>
      <c r="E23" s="60" t="str">
        <f aca="false">IF(D23="","",IFERROR(INDEX(Settings!$C$16:$C$45,MATCH(D23,Settings!$B$16:$B$45,0)),"Check category"))</f>
        <v>Contractors &amp; Vendors</v>
      </c>
      <c r="F23" s="76" t="n">
        <v>250</v>
      </c>
      <c r="G23" s="51" t="s">
        <v>144</v>
      </c>
      <c r="H23" s="51" t="s">
        <v>247</v>
      </c>
      <c r="I23" s="51"/>
      <c r="J23" s="51"/>
    </row>
    <row r="24" customFormat="false" ht="15" hidden="false" customHeight="false" outlineLevel="0" collapsed="false">
      <c r="A24" s="65" t="n">
        <v>46040</v>
      </c>
      <c r="B24" s="51" t="s">
        <v>368</v>
      </c>
      <c r="C24" s="51" t="s">
        <v>369</v>
      </c>
      <c r="D24" s="51" t="s">
        <v>166</v>
      </c>
      <c r="E24" s="60" t="str">
        <f aca="false">IF(D24="","",IFERROR(INDEX(Settings!$C$16:$C$45,MATCH(D24,Settings!$B$16:$B$45,0)),"Check category"))</f>
        <v>Marketing &amp; Advertising</v>
      </c>
      <c r="F24" s="76" t="n">
        <v>450</v>
      </c>
      <c r="G24" s="51" t="s">
        <v>335</v>
      </c>
      <c r="H24" s="51" t="s">
        <v>247</v>
      </c>
      <c r="I24" s="51"/>
      <c r="J24" s="51"/>
    </row>
    <row r="25" customFormat="false" ht="15" hidden="false" customHeight="false" outlineLevel="0" collapsed="false">
      <c r="A25" s="65" t="n">
        <v>46042</v>
      </c>
      <c r="B25" s="51" t="s">
        <v>370</v>
      </c>
      <c r="C25" s="51" t="s">
        <v>180</v>
      </c>
      <c r="D25" s="51" t="s">
        <v>180</v>
      </c>
      <c r="E25" s="60" t="str">
        <f aca="false">IF(D25="","",IFERROR(INDEX(Settings!$C$16:$C$45,MATCH(D25,Settings!$B$16:$B$45,0)),"Check category"))</f>
        <v>Contractors &amp; Vendors</v>
      </c>
      <c r="F25" s="76" t="n">
        <v>350</v>
      </c>
      <c r="G25" s="51" t="s">
        <v>113</v>
      </c>
      <c r="H25" s="51" t="s">
        <v>247</v>
      </c>
      <c r="I25" s="51"/>
      <c r="J25" s="51"/>
    </row>
    <row r="26" customFormat="false" ht="15" hidden="false" customHeight="false" outlineLevel="0" collapsed="false">
      <c r="A26" s="65" t="n">
        <v>46044</v>
      </c>
      <c r="B26" s="51" t="s">
        <v>371</v>
      </c>
      <c r="C26" s="51" t="s">
        <v>372</v>
      </c>
      <c r="D26" s="51" t="s">
        <v>179</v>
      </c>
      <c r="E26" s="60" t="str">
        <f aca="false">IF(D26="","",IFERROR(INDEX(Settings!$C$16:$C$45,MATCH(D26,Settings!$B$16:$B$45,0)),"Check category"))</f>
        <v>Contractors &amp; Vendors</v>
      </c>
      <c r="F26" s="76" t="n">
        <v>100</v>
      </c>
      <c r="G26" s="51" t="s">
        <v>144</v>
      </c>
      <c r="H26" s="51" t="s">
        <v>247</v>
      </c>
      <c r="I26" s="51"/>
      <c r="J26" s="51"/>
    </row>
    <row r="27" customFormat="false" ht="15" hidden="false" customHeight="false" outlineLevel="0" collapsed="false">
      <c r="A27" s="65" t="n">
        <v>46047</v>
      </c>
      <c r="B27" s="51" t="s">
        <v>373</v>
      </c>
      <c r="C27" s="51" t="s">
        <v>374</v>
      </c>
      <c r="D27" s="51" t="s">
        <v>172</v>
      </c>
      <c r="E27" s="60" t="str">
        <f aca="false">IF(D27="","",IFERROR(INDEX(Settings!$C$16:$C$45,MATCH(D27,Settings!$B$16:$B$45,0)),"Check category"))</f>
        <v>Marketing &amp; Advertising</v>
      </c>
      <c r="F27" s="76" t="n">
        <v>25</v>
      </c>
      <c r="G27" s="51" t="s">
        <v>335</v>
      </c>
      <c r="H27" s="51" t="s">
        <v>247</v>
      </c>
      <c r="I27" s="51"/>
      <c r="J27" s="51"/>
    </row>
    <row r="28" customFormat="false" ht="15" hidden="false" customHeight="false" outlineLevel="0" collapsed="false">
      <c r="A28" s="65" t="n">
        <v>46049</v>
      </c>
      <c r="B28" s="51" t="s">
        <v>375</v>
      </c>
      <c r="C28" s="51" t="s">
        <v>376</v>
      </c>
      <c r="D28" s="51" t="s">
        <v>159</v>
      </c>
      <c r="E28" s="60" t="str">
        <f aca="false">IF(D28="","",IFERROR(INDEX(Settings!$C$16:$C$45,MATCH(D28,Settings!$B$16:$B$45,0)),"Check category"))</f>
        <v>Overhead</v>
      </c>
      <c r="F28" s="76" t="n">
        <v>92.8</v>
      </c>
      <c r="G28" s="51" t="s">
        <v>113</v>
      </c>
      <c r="H28" s="51" t="s">
        <v>247</v>
      </c>
      <c r="I28" s="51"/>
      <c r="J28" s="51"/>
    </row>
    <row r="29" customFormat="false" ht="15" hidden="false" customHeight="false" outlineLevel="0" collapsed="false">
      <c r="A29" s="65" t="n">
        <v>46050</v>
      </c>
      <c r="B29" s="51" t="s">
        <v>377</v>
      </c>
      <c r="C29" s="51" t="s">
        <v>378</v>
      </c>
      <c r="D29" s="51" t="s">
        <v>162</v>
      </c>
      <c r="E29" s="60" t="str">
        <f aca="false">IF(D29="","",IFERROR(INDEX(Settings!$C$16:$C$45,MATCH(D29,Settings!$B$16:$B$45,0)),"Check category"))</f>
        <v>Overhead</v>
      </c>
      <c r="F29" s="76" t="n">
        <v>60.3</v>
      </c>
      <c r="G29" s="51" t="s">
        <v>113</v>
      </c>
      <c r="H29" s="51" t="s">
        <v>247</v>
      </c>
      <c r="I29" s="51"/>
      <c r="J29" s="51"/>
    </row>
    <row r="30" customFormat="false" ht="15" hidden="false" customHeight="false" outlineLevel="0" collapsed="false">
      <c r="A30" s="65" t="n">
        <v>46054</v>
      </c>
      <c r="B30" s="51" t="s">
        <v>331</v>
      </c>
      <c r="C30" s="51" t="s">
        <v>332</v>
      </c>
      <c r="D30" s="51" t="s">
        <v>126</v>
      </c>
      <c r="E30" s="60" t="str">
        <f aca="false">IF(D30="","",IFERROR(INDEX(Settings!$C$16:$C$45,MATCH(D30,Settings!$B$16:$B$45,0)),"Check category"))</f>
        <v>Overhead</v>
      </c>
      <c r="F30" s="76" t="n">
        <v>550</v>
      </c>
      <c r="G30" s="51" t="s">
        <v>113</v>
      </c>
      <c r="H30" s="51" t="s">
        <v>247</v>
      </c>
      <c r="I30" s="51"/>
      <c r="J30" s="51"/>
    </row>
    <row r="31" customFormat="false" ht="15" hidden="false" customHeight="false" outlineLevel="0" collapsed="false">
      <c r="A31" s="65" t="n">
        <v>46055</v>
      </c>
      <c r="B31" s="51" t="s">
        <v>333</v>
      </c>
      <c r="C31" s="51" t="s">
        <v>334</v>
      </c>
      <c r="D31" s="51" t="s">
        <v>142</v>
      </c>
      <c r="E31" s="60" t="str">
        <f aca="false">IF(D31="","",IFERROR(INDEX(Settings!$C$16:$C$45,MATCH(D31,Settings!$B$16:$B$45,0)),"Check category"))</f>
        <v>Overhead</v>
      </c>
      <c r="F31" s="76" t="n">
        <v>38</v>
      </c>
      <c r="G31" s="51" t="s">
        <v>335</v>
      </c>
      <c r="H31" s="51" t="s">
        <v>247</v>
      </c>
      <c r="I31" s="51"/>
      <c r="J31" s="51"/>
    </row>
    <row r="32" customFormat="false" ht="15" hidden="false" customHeight="false" outlineLevel="0" collapsed="false">
      <c r="A32" s="65" t="n">
        <v>46055</v>
      </c>
      <c r="B32" s="51" t="s">
        <v>336</v>
      </c>
      <c r="C32" s="51" t="s">
        <v>337</v>
      </c>
      <c r="D32" s="51" t="s">
        <v>142</v>
      </c>
      <c r="E32" s="60" t="str">
        <f aca="false">IF(D32="","",IFERROR(INDEX(Settings!$C$16:$C$45,MATCH(D32,Settings!$B$16:$B$45,0)),"Check category"))</f>
        <v>Overhead</v>
      </c>
      <c r="F32" s="76" t="n">
        <v>22</v>
      </c>
      <c r="G32" s="51" t="s">
        <v>335</v>
      </c>
      <c r="H32" s="51" t="s">
        <v>247</v>
      </c>
      <c r="I32" s="51"/>
      <c r="J32" s="51"/>
    </row>
    <row r="33" customFormat="false" ht="15" hidden="false" customHeight="false" outlineLevel="0" collapsed="false">
      <c r="A33" s="65" t="n">
        <v>46056</v>
      </c>
      <c r="B33" s="51" t="s">
        <v>338</v>
      </c>
      <c r="C33" s="51" t="s">
        <v>339</v>
      </c>
      <c r="D33" s="51" t="s">
        <v>142</v>
      </c>
      <c r="E33" s="60" t="str">
        <f aca="false">IF(D33="","",IFERROR(INDEX(Settings!$C$16:$C$45,MATCH(D33,Settings!$B$16:$B$45,0)),"Check category"))</f>
        <v>Overhead</v>
      </c>
      <c r="F33" s="76" t="n">
        <v>15</v>
      </c>
      <c r="G33" s="51" t="s">
        <v>335</v>
      </c>
      <c r="H33" s="51" t="s">
        <v>247</v>
      </c>
      <c r="I33" s="51"/>
      <c r="J33" s="51"/>
    </row>
    <row r="34" customFormat="false" ht="15" hidden="false" customHeight="false" outlineLevel="0" collapsed="false">
      <c r="A34" s="65" t="n">
        <v>46057</v>
      </c>
      <c r="B34" s="51" t="s">
        <v>340</v>
      </c>
      <c r="C34" s="51" t="s">
        <v>341</v>
      </c>
      <c r="D34" s="51" t="s">
        <v>142</v>
      </c>
      <c r="E34" s="60" t="str">
        <f aca="false">IF(D34="","",IFERROR(INDEX(Settings!$C$16:$C$45,MATCH(D34,Settings!$B$16:$B$45,0)),"Check category"))</f>
        <v>Overhead</v>
      </c>
      <c r="F34" s="76" t="n">
        <v>20</v>
      </c>
      <c r="G34" s="51" t="s">
        <v>335</v>
      </c>
      <c r="H34" s="51" t="s">
        <v>247</v>
      </c>
      <c r="I34" s="51"/>
      <c r="J34" s="51"/>
    </row>
    <row r="35" customFormat="false" ht="15" hidden="false" customHeight="false" outlineLevel="0" collapsed="false">
      <c r="A35" s="65" t="n">
        <v>46057</v>
      </c>
      <c r="B35" s="51" t="s">
        <v>342</v>
      </c>
      <c r="C35" s="51" t="s">
        <v>343</v>
      </c>
      <c r="D35" s="51" t="s">
        <v>142</v>
      </c>
      <c r="E35" s="60" t="str">
        <f aca="false">IF(D35="","",IFERROR(INDEX(Settings!$C$16:$C$45,MATCH(D35,Settings!$B$16:$B$45,0)),"Check category"))</f>
        <v>Overhead</v>
      </c>
      <c r="F35" s="76" t="n">
        <v>12</v>
      </c>
      <c r="G35" s="51" t="s">
        <v>335</v>
      </c>
      <c r="H35" s="51" t="s">
        <v>247</v>
      </c>
      <c r="I35" s="51"/>
      <c r="J35" s="51"/>
    </row>
    <row r="36" customFormat="false" ht="15" hidden="false" customHeight="false" outlineLevel="0" collapsed="false">
      <c r="A36" s="65" t="n">
        <v>46058</v>
      </c>
      <c r="B36" s="51" t="s">
        <v>344</v>
      </c>
      <c r="C36" s="51" t="s">
        <v>345</v>
      </c>
      <c r="D36" s="51" t="s">
        <v>134</v>
      </c>
      <c r="E36" s="60" t="str">
        <f aca="false">IF(D36="","",IFERROR(INDEX(Settings!$C$16:$C$45,MATCH(D36,Settings!$B$16:$B$45,0)),"Check category"))</f>
        <v>Overhead</v>
      </c>
      <c r="F36" s="76" t="n">
        <v>74.63</v>
      </c>
      <c r="G36" s="51" t="s">
        <v>130</v>
      </c>
      <c r="H36" s="51" t="s">
        <v>247</v>
      </c>
      <c r="I36" s="51"/>
      <c r="J36" s="51"/>
    </row>
    <row r="37" customFormat="false" ht="15" hidden="false" customHeight="false" outlineLevel="0" collapsed="false">
      <c r="A37" s="65" t="n">
        <v>46059</v>
      </c>
      <c r="B37" s="51" t="s">
        <v>346</v>
      </c>
      <c r="C37" s="51" t="s">
        <v>347</v>
      </c>
      <c r="D37" s="51" t="s">
        <v>134</v>
      </c>
      <c r="E37" s="60" t="str">
        <f aca="false">IF(D37="","",IFERROR(INDEX(Settings!$C$16:$C$45,MATCH(D37,Settings!$B$16:$B$45,0)),"Check category"))</f>
        <v>Overhead</v>
      </c>
      <c r="F37" s="76" t="n">
        <v>65</v>
      </c>
      <c r="G37" s="51" t="s">
        <v>130</v>
      </c>
      <c r="H37" s="51" t="s">
        <v>247</v>
      </c>
      <c r="I37" s="51"/>
      <c r="J37" s="51"/>
    </row>
    <row r="38" customFormat="false" ht="15" hidden="false" customHeight="false" outlineLevel="0" collapsed="false">
      <c r="A38" s="65" t="n">
        <v>46061</v>
      </c>
      <c r="B38" s="51" t="s">
        <v>348</v>
      </c>
      <c r="C38" s="51" t="s">
        <v>349</v>
      </c>
      <c r="D38" s="51" t="s">
        <v>138</v>
      </c>
      <c r="E38" s="60" t="str">
        <f aca="false">IF(D38="","",IFERROR(INDEX(Settings!$C$16:$C$45,MATCH(D38,Settings!$B$16:$B$45,0)),"Check category"))</f>
        <v>Overhead</v>
      </c>
      <c r="F38" s="76" t="n">
        <v>85</v>
      </c>
      <c r="G38" s="51" t="s">
        <v>335</v>
      </c>
      <c r="H38" s="51" t="s">
        <v>247</v>
      </c>
      <c r="I38" s="51"/>
      <c r="J38" s="51"/>
    </row>
    <row r="39" customFormat="false" ht="15" hidden="false" customHeight="false" outlineLevel="0" collapsed="false">
      <c r="A39" s="65" t="n">
        <v>46062</v>
      </c>
      <c r="B39" s="51" t="s">
        <v>379</v>
      </c>
      <c r="C39" s="51" t="s">
        <v>380</v>
      </c>
      <c r="D39" s="51" t="s">
        <v>154</v>
      </c>
      <c r="E39" s="60" t="str">
        <f aca="false">IF(D39="","",IFERROR(INDEX(Settings!$C$16:$C$45,MATCH(D39,Settings!$B$16:$B$45,0)),"Check category"))</f>
        <v>Overhead</v>
      </c>
      <c r="F39" s="76" t="n">
        <v>83.11</v>
      </c>
      <c r="G39" s="51" t="s">
        <v>335</v>
      </c>
      <c r="H39" s="51" t="s">
        <v>247</v>
      </c>
      <c r="I39" s="51"/>
      <c r="J39" s="51"/>
    </row>
    <row r="40" customFormat="false" ht="15" hidden="false" customHeight="false" outlineLevel="0" collapsed="false">
      <c r="A40" s="65" t="n">
        <v>46063</v>
      </c>
      <c r="B40" s="51" t="s">
        <v>352</v>
      </c>
      <c r="C40" s="51" t="s">
        <v>353</v>
      </c>
      <c r="D40" s="51" t="s">
        <v>147</v>
      </c>
      <c r="E40" s="60" t="str">
        <f aca="false">IF(D40="","",IFERROR(INDEX(Settings!$C$16:$C$45,MATCH(D40,Settings!$B$16:$B$45,0)),"Check category"))</f>
        <v>Overhead</v>
      </c>
      <c r="F40" s="76" t="n">
        <v>145</v>
      </c>
      <c r="G40" s="51" t="s">
        <v>113</v>
      </c>
      <c r="H40" s="51" t="s">
        <v>247</v>
      </c>
      <c r="I40" s="51"/>
      <c r="J40" s="51"/>
    </row>
    <row r="41" customFormat="false" ht="15" hidden="false" customHeight="false" outlineLevel="0" collapsed="false">
      <c r="A41" s="65" t="n">
        <v>46063</v>
      </c>
      <c r="B41" s="51" t="s">
        <v>381</v>
      </c>
      <c r="C41" s="51" t="s">
        <v>382</v>
      </c>
      <c r="D41" s="51" t="s">
        <v>164</v>
      </c>
      <c r="E41" s="60" t="str">
        <f aca="false">IF(D41="","",IFERROR(INDEX(Settings!$C$16:$C$45,MATCH(D41,Settings!$B$16:$B$45,0)),"Check category"))</f>
        <v>Overhead</v>
      </c>
      <c r="F41" s="76" t="n">
        <v>199</v>
      </c>
      <c r="G41" s="51" t="s">
        <v>335</v>
      </c>
      <c r="H41" s="51" t="s">
        <v>247</v>
      </c>
      <c r="I41" s="51"/>
      <c r="J41" s="51"/>
    </row>
    <row r="42" customFormat="false" ht="15" hidden="false" customHeight="false" outlineLevel="0" collapsed="false">
      <c r="A42" s="65" t="n">
        <v>46065</v>
      </c>
      <c r="B42" s="51" t="s">
        <v>354</v>
      </c>
      <c r="C42" s="51" t="s">
        <v>355</v>
      </c>
      <c r="D42" s="51" t="s">
        <v>168</v>
      </c>
      <c r="E42" s="60" t="str">
        <f aca="false">IF(D42="","",IFERROR(INDEX(Settings!$C$16:$C$45,MATCH(D42,Settings!$B$16:$B$45,0)),"Check category"))</f>
        <v>Marketing &amp; Advertising</v>
      </c>
      <c r="F42" s="76" t="n">
        <v>39</v>
      </c>
      <c r="G42" s="51" t="s">
        <v>335</v>
      </c>
      <c r="H42" s="51" t="s">
        <v>247</v>
      </c>
      <c r="I42" s="51"/>
      <c r="J42" s="51"/>
    </row>
    <row r="43" customFormat="false" ht="15" hidden="false" customHeight="false" outlineLevel="0" collapsed="false">
      <c r="A43" s="65" t="n">
        <v>46068</v>
      </c>
      <c r="B43" s="51" t="s">
        <v>362</v>
      </c>
      <c r="C43" s="51" t="s">
        <v>363</v>
      </c>
      <c r="D43" s="51" t="s">
        <v>174</v>
      </c>
      <c r="E43" s="60" t="str">
        <f aca="false">IF(D43="","",IFERROR(INDEX(Settings!$C$16:$C$45,MATCH(D43,Settings!$B$16:$B$45,0)),"Check category"))</f>
        <v>Marketing &amp; Advertising</v>
      </c>
      <c r="F43" s="76" t="n">
        <v>29</v>
      </c>
      <c r="G43" s="51" t="s">
        <v>335</v>
      </c>
      <c r="H43" s="51" t="s">
        <v>247</v>
      </c>
      <c r="I43" s="51"/>
      <c r="J43" s="51"/>
    </row>
    <row r="44" customFormat="false" ht="15" hidden="false" customHeight="false" outlineLevel="0" collapsed="false">
      <c r="A44" s="65" t="n">
        <v>46068</v>
      </c>
      <c r="B44" s="51" t="s">
        <v>364</v>
      </c>
      <c r="C44" s="51" t="s">
        <v>365</v>
      </c>
      <c r="D44" s="51" t="s">
        <v>108</v>
      </c>
      <c r="E44" s="60" t="str">
        <f aca="false">IF(D44="","",IFERROR(INDEX(Settings!$C$16:$C$45,MATCH(D44,Settings!$B$16:$B$45,0)),"Check category"))</f>
        <v>Owner Pay &amp; Taxes</v>
      </c>
      <c r="F44" s="76" t="n">
        <v>4500</v>
      </c>
      <c r="G44" s="51" t="s">
        <v>113</v>
      </c>
      <c r="H44" s="51" t="s">
        <v>247</v>
      </c>
      <c r="I44" s="51"/>
      <c r="J44" s="51"/>
    </row>
    <row r="45" customFormat="false" ht="15" hidden="false" customHeight="false" outlineLevel="0" collapsed="false">
      <c r="A45" s="65" t="n">
        <v>46071</v>
      </c>
      <c r="B45" s="51" t="s">
        <v>383</v>
      </c>
      <c r="C45" s="51" t="s">
        <v>369</v>
      </c>
      <c r="D45" s="51" t="s">
        <v>166</v>
      </c>
      <c r="E45" s="60" t="str">
        <f aca="false">IF(D45="","",IFERROR(INDEX(Settings!$C$16:$C$45,MATCH(D45,Settings!$B$16:$B$45,0)),"Check category"))</f>
        <v>Marketing &amp; Advertising</v>
      </c>
      <c r="F45" s="76" t="n">
        <v>300</v>
      </c>
      <c r="G45" s="51" t="s">
        <v>335</v>
      </c>
      <c r="H45" s="51" t="s">
        <v>247</v>
      </c>
      <c r="I45" s="51"/>
      <c r="J45" s="51"/>
    </row>
    <row r="46" customFormat="false" ht="15" hidden="false" customHeight="false" outlineLevel="0" collapsed="false">
      <c r="A46" s="65" t="n">
        <v>46071</v>
      </c>
      <c r="B46" s="51" t="s">
        <v>384</v>
      </c>
      <c r="C46" s="51" t="s">
        <v>385</v>
      </c>
      <c r="D46" s="51" t="s">
        <v>170</v>
      </c>
      <c r="E46" s="60" t="str">
        <f aca="false">IF(D46="","",IFERROR(INDEX(Settings!$C$16:$C$45,MATCH(D46,Settings!$B$16:$B$45,0)),"Check category"))</f>
        <v>Marketing &amp; Advertising</v>
      </c>
      <c r="F46" s="76" t="n">
        <v>50</v>
      </c>
      <c r="G46" s="51" t="s">
        <v>335</v>
      </c>
      <c r="H46" s="51" t="s">
        <v>250</v>
      </c>
      <c r="I46" s="51"/>
      <c r="J46" s="51"/>
    </row>
    <row r="47" customFormat="false" ht="15" hidden="false" customHeight="false" outlineLevel="0" collapsed="false">
      <c r="A47" s="65" t="n">
        <v>46073</v>
      </c>
      <c r="B47" s="51" t="s">
        <v>370</v>
      </c>
      <c r="C47" s="51" t="s">
        <v>180</v>
      </c>
      <c r="D47" s="51" t="s">
        <v>180</v>
      </c>
      <c r="E47" s="60" t="str">
        <f aca="false">IF(D47="","",IFERROR(INDEX(Settings!$C$16:$C$45,MATCH(D47,Settings!$B$16:$B$45,0)),"Check category"))</f>
        <v>Contractors &amp; Vendors</v>
      </c>
      <c r="F47" s="76" t="n">
        <v>350</v>
      </c>
      <c r="G47" s="51" t="s">
        <v>113</v>
      </c>
      <c r="H47" s="51" t="s">
        <v>247</v>
      </c>
      <c r="I47" s="51"/>
      <c r="J47" s="51"/>
    </row>
    <row r="48" customFormat="false" ht="15" hidden="false" customHeight="false" outlineLevel="0" collapsed="false">
      <c r="A48" s="65" t="n">
        <v>46075</v>
      </c>
      <c r="B48" s="51" t="s">
        <v>371</v>
      </c>
      <c r="C48" s="51" t="s">
        <v>372</v>
      </c>
      <c r="D48" s="51" t="s">
        <v>179</v>
      </c>
      <c r="E48" s="60" t="str">
        <f aca="false">IF(D48="","",IFERROR(INDEX(Settings!$C$16:$C$45,MATCH(D48,Settings!$B$16:$B$45,0)),"Check category"))</f>
        <v>Contractors &amp; Vendors</v>
      </c>
      <c r="F48" s="76" t="n">
        <v>100</v>
      </c>
      <c r="G48" s="51" t="s">
        <v>144</v>
      </c>
      <c r="H48" s="51" t="s">
        <v>247</v>
      </c>
      <c r="I48" s="51"/>
      <c r="J48" s="51"/>
    </row>
    <row r="49" customFormat="false" ht="15" hidden="false" customHeight="false" outlineLevel="0" collapsed="false">
      <c r="A49" s="65" t="n">
        <v>46078</v>
      </c>
      <c r="B49" s="51" t="s">
        <v>373</v>
      </c>
      <c r="C49" s="51" t="s">
        <v>374</v>
      </c>
      <c r="D49" s="51" t="s">
        <v>172</v>
      </c>
      <c r="E49" s="60" t="str">
        <f aca="false">IF(D49="","",IFERROR(INDEX(Settings!$C$16:$C$45,MATCH(D49,Settings!$B$16:$B$45,0)),"Check category"))</f>
        <v>Marketing &amp; Advertising</v>
      </c>
      <c r="F49" s="76" t="n">
        <v>25</v>
      </c>
      <c r="G49" s="51" t="s">
        <v>335</v>
      </c>
      <c r="H49" s="51" t="s">
        <v>247</v>
      </c>
      <c r="I49" s="51"/>
      <c r="J49" s="51"/>
    </row>
    <row r="50" customFormat="false" ht="15" hidden="false" customHeight="false" outlineLevel="0" collapsed="false">
      <c r="A50" s="65" t="n">
        <v>46080</v>
      </c>
      <c r="B50" s="51" t="s">
        <v>375</v>
      </c>
      <c r="C50" s="51" t="s">
        <v>386</v>
      </c>
      <c r="D50" s="51" t="s">
        <v>159</v>
      </c>
      <c r="E50" s="60" t="str">
        <f aca="false">IF(D50="","",IFERROR(INDEX(Settings!$C$16:$C$45,MATCH(D50,Settings!$B$16:$B$45,0)),"Check category"))</f>
        <v>Overhead</v>
      </c>
      <c r="F50" s="76" t="n">
        <v>55.1</v>
      </c>
      <c r="G50" s="51" t="s">
        <v>113</v>
      </c>
      <c r="H50" s="51" t="s">
        <v>247</v>
      </c>
      <c r="I50" s="51"/>
      <c r="J50" s="51"/>
    </row>
    <row r="51" customFormat="false" ht="15" hidden="false" customHeight="false" outlineLevel="0" collapsed="false">
      <c r="A51" s="65" t="n">
        <v>46081</v>
      </c>
      <c r="B51" s="51" t="s">
        <v>377</v>
      </c>
      <c r="C51" s="51" t="s">
        <v>378</v>
      </c>
      <c r="D51" s="51" t="s">
        <v>162</v>
      </c>
      <c r="E51" s="60" t="str">
        <f aca="false">IF(D51="","",IFERROR(INDEX(Settings!$C$16:$C$45,MATCH(D51,Settings!$B$16:$B$45,0)),"Check category"))</f>
        <v>Overhead</v>
      </c>
      <c r="F51" s="76" t="n">
        <v>43.04</v>
      </c>
      <c r="G51" s="51" t="s">
        <v>113</v>
      </c>
      <c r="H51" s="51" t="s">
        <v>247</v>
      </c>
      <c r="I51" s="51"/>
      <c r="J51" s="51"/>
    </row>
    <row r="52" customFormat="false" ht="15" hidden="false" customHeight="false" outlineLevel="0" collapsed="false">
      <c r="A52" s="65" t="n">
        <v>46082</v>
      </c>
      <c r="B52" s="51" t="s">
        <v>331</v>
      </c>
      <c r="C52" s="51" t="s">
        <v>332</v>
      </c>
      <c r="D52" s="51" t="s">
        <v>126</v>
      </c>
      <c r="E52" s="60" t="str">
        <f aca="false">IF(D52="","",IFERROR(INDEX(Settings!$C$16:$C$45,MATCH(D52,Settings!$B$16:$B$45,0)),"Check category"))</f>
        <v>Overhead</v>
      </c>
      <c r="F52" s="76" t="n">
        <v>550</v>
      </c>
      <c r="G52" s="51" t="s">
        <v>113</v>
      </c>
      <c r="H52" s="51" t="s">
        <v>247</v>
      </c>
      <c r="I52" s="51"/>
      <c r="J52" s="51"/>
    </row>
    <row r="53" customFormat="false" ht="15" hidden="false" customHeight="false" outlineLevel="0" collapsed="false">
      <c r="A53" s="65" t="n">
        <v>46083</v>
      </c>
      <c r="B53" s="51" t="s">
        <v>333</v>
      </c>
      <c r="C53" s="51" t="s">
        <v>334</v>
      </c>
      <c r="D53" s="51" t="s">
        <v>142</v>
      </c>
      <c r="E53" s="60" t="str">
        <f aca="false">IF(D53="","",IFERROR(INDEX(Settings!$C$16:$C$45,MATCH(D53,Settings!$B$16:$B$45,0)),"Check category"))</f>
        <v>Overhead</v>
      </c>
      <c r="F53" s="76" t="n">
        <v>38</v>
      </c>
      <c r="G53" s="51" t="s">
        <v>335</v>
      </c>
      <c r="H53" s="51" t="s">
        <v>247</v>
      </c>
      <c r="I53" s="51"/>
      <c r="J53" s="51"/>
    </row>
    <row r="54" customFormat="false" ht="15" hidden="false" customHeight="false" outlineLevel="0" collapsed="false">
      <c r="A54" s="65" t="n">
        <v>46083</v>
      </c>
      <c r="B54" s="51" t="s">
        <v>336</v>
      </c>
      <c r="C54" s="51" t="s">
        <v>337</v>
      </c>
      <c r="D54" s="51" t="s">
        <v>142</v>
      </c>
      <c r="E54" s="60" t="str">
        <f aca="false">IF(D54="","",IFERROR(INDEX(Settings!$C$16:$C$45,MATCH(D54,Settings!$B$16:$B$45,0)),"Check category"))</f>
        <v>Overhead</v>
      </c>
      <c r="F54" s="76" t="n">
        <v>22</v>
      </c>
      <c r="G54" s="51" t="s">
        <v>335</v>
      </c>
      <c r="H54" s="51" t="s">
        <v>247</v>
      </c>
      <c r="I54" s="51"/>
      <c r="J54" s="51"/>
    </row>
    <row r="55" customFormat="false" ht="15" hidden="false" customHeight="false" outlineLevel="0" collapsed="false">
      <c r="A55" s="65" t="n">
        <v>46084</v>
      </c>
      <c r="B55" s="51" t="s">
        <v>338</v>
      </c>
      <c r="C55" s="51" t="s">
        <v>339</v>
      </c>
      <c r="D55" s="51" t="s">
        <v>142</v>
      </c>
      <c r="E55" s="60" t="str">
        <f aca="false">IF(D55="","",IFERROR(INDEX(Settings!$C$16:$C$45,MATCH(D55,Settings!$B$16:$B$45,0)),"Check category"))</f>
        <v>Overhead</v>
      </c>
      <c r="F55" s="76" t="n">
        <v>15</v>
      </c>
      <c r="G55" s="51" t="s">
        <v>335</v>
      </c>
      <c r="H55" s="51" t="s">
        <v>247</v>
      </c>
      <c r="I55" s="51"/>
      <c r="J55" s="51"/>
    </row>
    <row r="56" customFormat="false" ht="15" hidden="false" customHeight="false" outlineLevel="0" collapsed="false">
      <c r="A56" s="65" t="n">
        <v>46085</v>
      </c>
      <c r="B56" s="51" t="s">
        <v>340</v>
      </c>
      <c r="C56" s="51" t="s">
        <v>341</v>
      </c>
      <c r="D56" s="51" t="s">
        <v>142</v>
      </c>
      <c r="E56" s="60" t="str">
        <f aca="false">IF(D56="","",IFERROR(INDEX(Settings!$C$16:$C$45,MATCH(D56,Settings!$B$16:$B$45,0)),"Check category"))</f>
        <v>Overhead</v>
      </c>
      <c r="F56" s="76" t="n">
        <v>20</v>
      </c>
      <c r="G56" s="51" t="s">
        <v>335</v>
      </c>
      <c r="H56" s="51" t="s">
        <v>247</v>
      </c>
      <c r="I56" s="51"/>
      <c r="J56" s="51"/>
    </row>
    <row r="57" customFormat="false" ht="15" hidden="false" customHeight="false" outlineLevel="0" collapsed="false">
      <c r="A57" s="65" t="n">
        <v>46085</v>
      </c>
      <c r="B57" s="51" t="s">
        <v>342</v>
      </c>
      <c r="C57" s="51" t="s">
        <v>343</v>
      </c>
      <c r="D57" s="51" t="s">
        <v>142</v>
      </c>
      <c r="E57" s="60" t="str">
        <f aca="false">IF(D57="","",IFERROR(INDEX(Settings!$C$16:$C$45,MATCH(D57,Settings!$B$16:$B$45,0)),"Check category"))</f>
        <v>Overhead</v>
      </c>
      <c r="F57" s="76" t="n">
        <v>12</v>
      </c>
      <c r="G57" s="51" t="s">
        <v>335</v>
      </c>
      <c r="H57" s="51" t="s">
        <v>247</v>
      </c>
      <c r="I57" s="51"/>
      <c r="J57" s="51"/>
    </row>
    <row r="58" customFormat="false" ht="15" hidden="false" customHeight="false" outlineLevel="0" collapsed="false">
      <c r="A58" s="65" t="n">
        <v>46086</v>
      </c>
      <c r="B58" s="51" t="s">
        <v>344</v>
      </c>
      <c r="C58" s="51" t="s">
        <v>345</v>
      </c>
      <c r="D58" s="51" t="s">
        <v>134</v>
      </c>
      <c r="E58" s="60" t="str">
        <f aca="false">IF(D58="","",IFERROR(INDEX(Settings!$C$16:$C$45,MATCH(D58,Settings!$B$16:$B$45,0)),"Check category"))</f>
        <v>Overhead</v>
      </c>
      <c r="F58" s="76" t="n">
        <v>77.05</v>
      </c>
      <c r="G58" s="51" t="s">
        <v>130</v>
      </c>
      <c r="H58" s="51" t="s">
        <v>247</v>
      </c>
      <c r="I58" s="51"/>
      <c r="J58" s="51"/>
    </row>
    <row r="59" customFormat="false" ht="15" hidden="false" customHeight="false" outlineLevel="0" collapsed="false">
      <c r="A59" s="65" t="n">
        <v>46087</v>
      </c>
      <c r="B59" s="51" t="s">
        <v>346</v>
      </c>
      <c r="C59" s="51" t="s">
        <v>347</v>
      </c>
      <c r="D59" s="51" t="s">
        <v>134</v>
      </c>
      <c r="E59" s="60" t="str">
        <f aca="false">IF(D59="","",IFERROR(INDEX(Settings!$C$16:$C$45,MATCH(D59,Settings!$B$16:$B$45,0)),"Check category"))</f>
        <v>Overhead</v>
      </c>
      <c r="F59" s="76" t="n">
        <v>65</v>
      </c>
      <c r="G59" s="51" t="s">
        <v>130</v>
      </c>
      <c r="H59" s="51" t="s">
        <v>247</v>
      </c>
      <c r="I59" s="51"/>
      <c r="J59" s="51"/>
    </row>
    <row r="60" customFormat="false" ht="15" hidden="false" customHeight="false" outlineLevel="0" collapsed="false">
      <c r="A60" s="65" t="n">
        <v>46089</v>
      </c>
      <c r="B60" s="51" t="s">
        <v>348</v>
      </c>
      <c r="C60" s="51" t="s">
        <v>349</v>
      </c>
      <c r="D60" s="51" t="s">
        <v>138</v>
      </c>
      <c r="E60" s="60" t="str">
        <f aca="false">IF(D60="","",IFERROR(INDEX(Settings!$C$16:$C$45,MATCH(D60,Settings!$B$16:$B$45,0)),"Check category"))</f>
        <v>Overhead</v>
      </c>
      <c r="F60" s="76" t="n">
        <v>85</v>
      </c>
      <c r="G60" s="51" t="s">
        <v>335</v>
      </c>
      <c r="H60" s="51" t="s">
        <v>247</v>
      </c>
      <c r="I60" s="51"/>
      <c r="J60" s="51"/>
    </row>
    <row r="61" customFormat="false" ht="15" hidden="false" customHeight="false" outlineLevel="0" collapsed="false">
      <c r="A61" s="65" t="n">
        <v>46091</v>
      </c>
      <c r="B61" s="51" t="s">
        <v>352</v>
      </c>
      <c r="C61" s="51" t="s">
        <v>353</v>
      </c>
      <c r="D61" s="51" t="s">
        <v>147</v>
      </c>
      <c r="E61" s="60" t="str">
        <f aca="false">IF(D61="","",IFERROR(INDEX(Settings!$C$16:$C$45,MATCH(D61,Settings!$B$16:$B$45,0)),"Check category"))</f>
        <v>Overhead</v>
      </c>
      <c r="F61" s="76" t="n">
        <v>145</v>
      </c>
      <c r="G61" s="51" t="s">
        <v>113</v>
      </c>
      <c r="H61" s="51" t="s">
        <v>247</v>
      </c>
      <c r="I61" s="51"/>
      <c r="J61" s="51"/>
    </row>
    <row r="62" customFormat="false" ht="15" hidden="false" customHeight="false" outlineLevel="0" collapsed="false">
      <c r="A62" s="65" t="n">
        <v>46093</v>
      </c>
      <c r="B62" s="51" t="s">
        <v>354</v>
      </c>
      <c r="C62" s="51" t="s">
        <v>355</v>
      </c>
      <c r="D62" s="51" t="s">
        <v>168</v>
      </c>
      <c r="E62" s="60" t="str">
        <f aca="false">IF(D62="","",IFERROR(INDEX(Settings!$C$16:$C$45,MATCH(D62,Settings!$B$16:$B$45,0)),"Check category"))</f>
        <v>Marketing &amp; Advertising</v>
      </c>
      <c r="F62" s="76" t="n">
        <v>39</v>
      </c>
      <c r="G62" s="51" t="s">
        <v>335</v>
      </c>
      <c r="H62" s="51" t="s">
        <v>247</v>
      </c>
      <c r="I62" s="51"/>
      <c r="J62" s="51"/>
    </row>
    <row r="63" customFormat="false" ht="15" hidden="false" customHeight="false" outlineLevel="0" collapsed="false">
      <c r="A63" s="65" t="n">
        <v>46095</v>
      </c>
      <c r="B63" s="51" t="s">
        <v>358</v>
      </c>
      <c r="C63" s="51" t="s">
        <v>359</v>
      </c>
      <c r="D63" s="51" t="s">
        <v>156</v>
      </c>
      <c r="E63" s="60" t="str">
        <f aca="false">IF(D63="","",IFERROR(INDEX(Settings!$C$16:$C$45,MATCH(D63,Settings!$B$16:$B$45,0)),"Check category"))</f>
        <v>Overhead</v>
      </c>
      <c r="F63" s="76" t="n">
        <v>96.2</v>
      </c>
      <c r="G63" s="51" t="s">
        <v>335</v>
      </c>
      <c r="H63" s="51" t="s">
        <v>247</v>
      </c>
      <c r="I63" s="51"/>
      <c r="J63" s="51"/>
    </row>
    <row r="64" customFormat="false" ht="15" hidden="false" customHeight="false" outlineLevel="0" collapsed="false">
      <c r="A64" s="65" t="n">
        <v>46096</v>
      </c>
      <c r="B64" s="51" t="s">
        <v>362</v>
      </c>
      <c r="C64" s="51" t="s">
        <v>363</v>
      </c>
      <c r="D64" s="51" t="s">
        <v>174</v>
      </c>
      <c r="E64" s="60" t="str">
        <f aca="false">IF(D64="","",IFERROR(INDEX(Settings!$C$16:$C$45,MATCH(D64,Settings!$B$16:$B$45,0)),"Check category"))</f>
        <v>Marketing &amp; Advertising</v>
      </c>
      <c r="F64" s="76" t="n">
        <v>29</v>
      </c>
      <c r="G64" s="51" t="s">
        <v>335</v>
      </c>
      <c r="H64" s="51" t="s">
        <v>247</v>
      </c>
      <c r="I64" s="51"/>
      <c r="J64" s="51"/>
    </row>
    <row r="65" customFormat="false" ht="15" hidden="false" customHeight="false" outlineLevel="0" collapsed="false">
      <c r="A65" s="65" t="n">
        <v>46096</v>
      </c>
      <c r="B65" s="51" t="s">
        <v>364</v>
      </c>
      <c r="C65" s="51" t="s">
        <v>365</v>
      </c>
      <c r="D65" s="51" t="s">
        <v>108</v>
      </c>
      <c r="E65" s="60" t="str">
        <f aca="false">IF(D65="","",IFERROR(INDEX(Settings!$C$16:$C$45,MATCH(D65,Settings!$B$16:$B$45,0)),"Check category"))</f>
        <v>Owner Pay &amp; Taxes</v>
      </c>
      <c r="F65" s="76" t="n">
        <v>4500</v>
      </c>
      <c r="G65" s="51" t="s">
        <v>113</v>
      </c>
      <c r="H65" s="51" t="s">
        <v>247</v>
      </c>
      <c r="I65" s="51"/>
      <c r="J65" s="51"/>
    </row>
    <row r="66" customFormat="false" ht="15" hidden="false" customHeight="false" outlineLevel="0" collapsed="false">
      <c r="A66" s="65" t="n">
        <v>46099</v>
      </c>
      <c r="B66" s="51" t="s">
        <v>387</v>
      </c>
      <c r="C66" s="51" t="s">
        <v>369</v>
      </c>
      <c r="D66" s="51" t="s">
        <v>166</v>
      </c>
      <c r="E66" s="60" t="str">
        <f aca="false">IF(D66="","",IFERROR(INDEX(Settings!$C$16:$C$45,MATCH(D66,Settings!$B$16:$B$45,0)),"Check category"))</f>
        <v>Marketing &amp; Advertising</v>
      </c>
      <c r="F66" s="76" t="n">
        <v>450</v>
      </c>
      <c r="G66" s="51" t="s">
        <v>335</v>
      </c>
      <c r="H66" s="51" t="s">
        <v>247</v>
      </c>
      <c r="I66" s="51"/>
      <c r="J66" s="51"/>
    </row>
    <row r="67" customFormat="false" ht="15" hidden="false" customHeight="false" outlineLevel="0" collapsed="false">
      <c r="A67" s="65" t="n">
        <v>46101</v>
      </c>
      <c r="B67" s="51" t="s">
        <v>370</v>
      </c>
      <c r="C67" s="51" t="s">
        <v>180</v>
      </c>
      <c r="D67" s="51" t="s">
        <v>180</v>
      </c>
      <c r="E67" s="60" t="str">
        <f aca="false">IF(D67="","",IFERROR(INDEX(Settings!$C$16:$C$45,MATCH(D67,Settings!$B$16:$B$45,0)),"Check category"))</f>
        <v>Contractors &amp; Vendors</v>
      </c>
      <c r="F67" s="76" t="n">
        <v>350</v>
      </c>
      <c r="G67" s="51" t="s">
        <v>113</v>
      </c>
      <c r="H67" s="51" t="s">
        <v>247</v>
      </c>
      <c r="I67" s="51"/>
      <c r="J67" s="51"/>
    </row>
    <row r="68" customFormat="false" ht="15" hidden="false" customHeight="false" outlineLevel="0" collapsed="false">
      <c r="A68" s="65" t="n">
        <v>46101</v>
      </c>
      <c r="B68" s="51" t="s">
        <v>388</v>
      </c>
      <c r="C68" s="51" t="s">
        <v>389</v>
      </c>
      <c r="D68" s="51" t="s">
        <v>151</v>
      </c>
      <c r="E68" s="60" t="str">
        <f aca="false">IF(D68="","",IFERROR(INDEX(Settings!$C$16:$C$45,MATCH(D68,Settings!$B$16:$B$45,0)),"Check category"))</f>
        <v>Overhead</v>
      </c>
      <c r="F68" s="76" t="n">
        <v>600</v>
      </c>
      <c r="G68" s="51" t="s">
        <v>55</v>
      </c>
      <c r="H68" s="51" t="s">
        <v>247</v>
      </c>
      <c r="I68" s="51"/>
      <c r="J68" s="51"/>
    </row>
    <row r="69" customFormat="false" ht="15" hidden="false" customHeight="false" outlineLevel="0" collapsed="false">
      <c r="A69" s="65" t="n">
        <v>46103</v>
      </c>
      <c r="B69" s="51" t="s">
        <v>371</v>
      </c>
      <c r="C69" s="51" t="s">
        <v>372</v>
      </c>
      <c r="D69" s="51" t="s">
        <v>179</v>
      </c>
      <c r="E69" s="60" t="str">
        <f aca="false">IF(D69="","",IFERROR(INDEX(Settings!$C$16:$C$45,MATCH(D69,Settings!$B$16:$B$45,0)),"Check category"))</f>
        <v>Contractors &amp; Vendors</v>
      </c>
      <c r="F69" s="76" t="n">
        <v>100</v>
      </c>
      <c r="G69" s="51" t="s">
        <v>144</v>
      </c>
      <c r="H69" s="51" t="s">
        <v>247</v>
      </c>
      <c r="I69" s="51"/>
      <c r="J69" s="51"/>
    </row>
    <row r="70" customFormat="false" ht="15" hidden="false" customHeight="false" outlineLevel="0" collapsed="false">
      <c r="A70" s="65" t="n">
        <v>46106</v>
      </c>
      <c r="B70" s="51" t="s">
        <v>373</v>
      </c>
      <c r="C70" s="51" t="s">
        <v>374</v>
      </c>
      <c r="D70" s="51" t="s">
        <v>172</v>
      </c>
      <c r="E70" s="60" t="str">
        <f aca="false">IF(D70="","",IFERROR(INDEX(Settings!$C$16:$C$45,MATCH(D70,Settings!$B$16:$B$45,0)),"Check category"))</f>
        <v>Marketing &amp; Advertising</v>
      </c>
      <c r="F70" s="76" t="n">
        <v>25</v>
      </c>
      <c r="G70" s="51" t="s">
        <v>335</v>
      </c>
      <c r="H70" s="51" t="s">
        <v>247</v>
      </c>
      <c r="I70" s="51"/>
      <c r="J70" s="51"/>
    </row>
    <row r="71" customFormat="false" ht="15" hidden="false" customHeight="false" outlineLevel="0" collapsed="false">
      <c r="A71" s="65" t="n">
        <v>46106</v>
      </c>
      <c r="B71" s="51" t="s">
        <v>390</v>
      </c>
      <c r="C71" s="51" t="s">
        <v>391</v>
      </c>
      <c r="D71" s="51" t="s">
        <v>178</v>
      </c>
      <c r="E71" s="60" t="str">
        <f aca="false">IF(D71="","",IFERROR(INDEX(Settings!$C$16:$C$45,MATCH(D71,Settings!$B$16:$B$45,0)),"Check category"))</f>
        <v>Contractors &amp; Vendors</v>
      </c>
      <c r="F71" s="76" t="n">
        <v>1500</v>
      </c>
      <c r="G71" s="51" t="s">
        <v>113</v>
      </c>
      <c r="H71" s="51" t="s">
        <v>247</v>
      </c>
      <c r="I71" s="51" t="s">
        <v>219</v>
      </c>
      <c r="J71" s="51"/>
    </row>
    <row r="72" customFormat="false" ht="15" hidden="false" customHeight="false" outlineLevel="0" collapsed="false">
      <c r="A72" s="65" t="n">
        <v>46108</v>
      </c>
      <c r="B72" s="51" t="s">
        <v>375</v>
      </c>
      <c r="C72" s="51" t="s">
        <v>392</v>
      </c>
      <c r="D72" s="51" t="s">
        <v>159</v>
      </c>
      <c r="E72" s="60" t="str">
        <f aca="false">IF(D72="","",IFERROR(INDEX(Settings!$C$16:$C$45,MATCH(D72,Settings!$B$16:$B$45,0)),"Check category"))</f>
        <v>Overhead</v>
      </c>
      <c r="F72" s="76" t="n">
        <v>75.4</v>
      </c>
      <c r="G72" s="51" t="s">
        <v>113</v>
      </c>
      <c r="H72" s="51" t="s">
        <v>247</v>
      </c>
      <c r="I72" s="51"/>
      <c r="J72" s="51"/>
    </row>
    <row r="73" customFormat="false" ht="15" hidden="false" customHeight="false" outlineLevel="0" collapsed="false">
      <c r="A73" s="65" t="n">
        <v>46109</v>
      </c>
      <c r="B73" s="51" t="s">
        <v>377</v>
      </c>
      <c r="C73" s="51" t="s">
        <v>378</v>
      </c>
      <c r="D73" s="51" t="s">
        <v>162</v>
      </c>
      <c r="E73" s="60" t="str">
        <f aca="false">IF(D73="","",IFERROR(INDEX(Settings!$C$16:$C$45,MATCH(D73,Settings!$B$16:$B$45,0)),"Check category"))</f>
        <v>Overhead</v>
      </c>
      <c r="F73" s="76" t="n">
        <v>49.37</v>
      </c>
      <c r="G73" s="51" t="s">
        <v>113</v>
      </c>
      <c r="H73" s="51" t="s">
        <v>247</v>
      </c>
      <c r="I73" s="51"/>
      <c r="J73" s="51"/>
    </row>
    <row r="74" customFormat="false" ht="15" hidden="false" customHeight="false" outlineLevel="0" collapsed="false">
      <c r="A74" s="65" t="n">
        <v>46113</v>
      </c>
      <c r="B74" s="51" t="s">
        <v>331</v>
      </c>
      <c r="C74" s="51" t="s">
        <v>332</v>
      </c>
      <c r="D74" s="51" t="s">
        <v>126</v>
      </c>
      <c r="E74" s="60" t="str">
        <f aca="false">IF(D74="","",IFERROR(INDEX(Settings!$C$16:$C$45,MATCH(D74,Settings!$B$16:$B$45,0)),"Check category"))</f>
        <v>Overhead</v>
      </c>
      <c r="F74" s="76" t="n">
        <v>550</v>
      </c>
      <c r="G74" s="51" t="s">
        <v>113</v>
      </c>
      <c r="H74" s="51" t="s">
        <v>247</v>
      </c>
      <c r="I74" s="51"/>
      <c r="J74" s="51"/>
    </row>
    <row r="75" customFormat="false" ht="15" hidden="false" customHeight="false" outlineLevel="0" collapsed="false">
      <c r="A75" s="65" t="n">
        <v>46114</v>
      </c>
      <c r="B75" s="51" t="s">
        <v>333</v>
      </c>
      <c r="C75" s="51" t="s">
        <v>334</v>
      </c>
      <c r="D75" s="51" t="s">
        <v>142</v>
      </c>
      <c r="E75" s="60" t="str">
        <f aca="false">IF(D75="","",IFERROR(INDEX(Settings!$C$16:$C$45,MATCH(D75,Settings!$B$16:$B$45,0)),"Check category"))</f>
        <v>Overhead</v>
      </c>
      <c r="F75" s="76" t="n">
        <v>38</v>
      </c>
      <c r="G75" s="51" t="s">
        <v>335</v>
      </c>
      <c r="H75" s="51" t="s">
        <v>247</v>
      </c>
      <c r="I75" s="51"/>
      <c r="J75" s="51"/>
    </row>
    <row r="76" customFormat="false" ht="15" hidden="false" customHeight="false" outlineLevel="0" collapsed="false">
      <c r="A76" s="65" t="n">
        <v>46114</v>
      </c>
      <c r="B76" s="51" t="s">
        <v>336</v>
      </c>
      <c r="C76" s="51" t="s">
        <v>337</v>
      </c>
      <c r="D76" s="51" t="s">
        <v>142</v>
      </c>
      <c r="E76" s="60" t="str">
        <f aca="false">IF(D76="","",IFERROR(INDEX(Settings!$C$16:$C$45,MATCH(D76,Settings!$B$16:$B$45,0)),"Check category"))</f>
        <v>Overhead</v>
      </c>
      <c r="F76" s="76" t="n">
        <v>22</v>
      </c>
      <c r="G76" s="51" t="s">
        <v>335</v>
      </c>
      <c r="H76" s="51" t="s">
        <v>247</v>
      </c>
      <c r="I76" s="51"/>
      <c r="J76" s="51"/>
    </row>
    <row r="77" customFormat="false" ht="15" hidden="false" customHeight="false" outlineLevel="0" collapsed="false">
      <c r="A77" s="65" t="n">
        <v>46115</v>
      </c>
      <c r="B77" s="51" t="s">
        <v>338</v>
      </c>
      <c r="C77" s="51" t="s">
        <v>339</v>
      </c>
      <c r="D77" s="51" t="s">
        <v>142</v>
      </c>
      <c r="E77" s="60" t="str">
        <f aca="false">IF(D77="","",IFERROR(INDEX(Settings!$C$16:$C$45,MATCH(D77,Settings!$B$16:$B$45,0)),"Check category"))</f>
        <v>Overhead</v>
      </c>
      <c r="F77" s="76" t="n">
        <v>15</v>
      </c>
      <c r="G77" s="51" t="s">
        <v>335</v>
      </c>
      <c r="H77" s="51" t="s">
        <v>247</v>
      </c>
      <c r="I77" s="51"/>
      <c r="J77" s="51"/>
    </row>
    <row r="78" customFormat="false" ht="15" hidden="false" customHeight="false" outlineLevel="0" collapsed="false">
      <c r="A78" s="65" t="n">
        <v>46116</v>
      </c>
      <c r="B78" s="51" t="s">
        <v>340</v>
      </c>
      <c r="C78" s="51" t="s">
        <v>341</v>
      </c>
      <c r="D78" s="51" t="s">
        <v>142</v>
      </c>
      <c r="E78" s="60" t="str">
        <f aca="false">IF(D78="","",IFERROR(INDEX(Settings!$C$16:$C$45,MATCH(D78,Settings!$B$16:$B$45,0)),"Check category"))</f>
        <v>Overhead</v>
      </c>
      <c r="F78" s="76" t="n">
        <v>20</v>
      </c>
      <c r="G78" s="51" t="s">
        <v>335</v>
      </c>
      <c r="H78" s="51" t="s">
        <v>247</v>
      </c>
      <c r="I78" s="51"/>
      <c r="J78" s="51"/>
    </row>
    <row r="79" customFormat="false" ht="15" hidden="false" customHeight="false" outlineLevel="0" collapsed="false">
      <c r="A79" s="65" t="n">
        <v>46116</v>
      </c>
      <c r="B79" s="51" t="s">
        <v>342</v>
      </c>
      <c r="C79" s="51" t="s">
        <v>343</v>
      </c>
      <c r="D79" s="51" t="s">
        <v>142</v>
      </c>
      <c r="E79" s="60" t="str">
        <f aca="false">IF(D79="","",IFERROR(INDEX(Settings!$C$16:$C$45,MATCH(D79,Settings!$B$16:$B$45,0)),"Check category"))</f>
        <v>Overhead</v>
      </c>
      <c r="F79" s="76" t="n">
        <v>12</v>
      </c>
      <c r="G79" s="51" t="s">
        <v>335</v>
      </c>
      <c r="H79" s="51" t="s">
        <v>247</v>
      </c>
      <c r="I79" s="51"/>
      <c r="J79" s="51"/>
    </row>
    <row r="80" customFormat="false" ht="15" hidden="false" customHeight="false" outlineLevel="0" collapsed="false">
      <c r="A80" s="65" t="n">
        <v>46117</v>
      </c>
      <c r="B80" s="51" t="s">
        <v>344</v>
      </c>
      <c r="C80" s="51" t="s">
        <v>345</v>
      </c>
      <c r="D80" s="51" t="s">
        <v>134</v>
      </c>
      <c r="E80" s="60" t="str">
        <f aca="false">IF(D80="","",IFERROR(INDEX(Settings!$C$16:$C$45,MATCH(D80,Settings!$B$16:$B$45,0)),"Check category"))</f>
        <v>Overhead</v>
      </c>
      <c r="F80" s="76" t="n">
        <v>76.95</v>
      </c>
      <c r="G80" s="51" t="s">
        <v>130</v>
      </c>
      <c r="H80" s="51" t="s">
        <v>247</v>
      </c>
      <c r="I80" s="51"/>
      <c r="J80" s="51"/>
    </row>
    <row r="81" customFormat="false" ht="15" hidden="false" customHeight="false" outlineLevel="0" collapsed="false">
      <c r="A81" s="65" t="n">
        <v>46118</v>
      </c>
      <c r="B81" s="51" t="s">
        <v>346</v>
      </c>
      <c r="C81" s="51" t="s">
        <v>347</v>
      </c>
      <c r="D81" s="51" t="s">
        <v>134</v>
      </c>
      <c r="E81" s="60" t="str">
        <f aca="false">IF(D81="","",IFERROR(INDEX(Settings!$C$16:$C$45,MATCH(D81,Settings!$B$16:$B$45,0)),"Check category"))</f>
        <v>Overhead</v>
      </c>
      <c r="F81" s="76" t="n">
        <v>65</v>
      </c>
      <c r="G81" s="51" t="s">
        <v>130</v>
      </c>
      <c r="H81" s="51" t="s">
        <v>247</v>
      </c>
      <c r="I81" s="51"/>
      <c r="J81" s="51"/>
    </row>
    <row r="82" customFormat="false" ht="15" hidden="false" customHeight="false" outlineLevel="0" collapsed="false">
      <c r="A82" s="65" t="n">
        <v>46120</v>
      </c>
      <c r="B82" s="51" t="s">
        <v>348</v>
      </c>
      <c r="C82" s="51" t="s">
        <v>349</v>
      </c>
      <c r="D82" s="51" t="s">
        <v>138</v>
      </c>
      <c r="E82" s="60" t="str">
        <f aca="false">IF(D82="","",IFERROR(INDEX(Settings!$C$16:$C$45,MATCH(D82,Settings!$B$16:$B$45,0)),"Check category"))</f>
        <v>Overhead</v>
      </c>
      <c r="F82" s="76" t="n">
        <v>85</v>
      </c>
      <c r="G82" s="51" t="s">
        <v>335</v>
      </c>
      <c r="H82" s="51" t="s">
        <v>247</v>
      </c>
      <c r="I82" s="51"/>
      <c r="J82" s="51"/>
    </row>
    <row r="83" customFormat="false" ht="15" hidden="false" customHeight="false" outlineLevel="0" collapsed="false">
      <c r="A83" s="65" t="n">
        <v>46122</v>
      </c>
      <c r="B83" s="51" t="s">
        <v>352</v>
      </c>
      <c r="C83" s="51" t="s">
        <v>353</v>
      </c>
      <c r="D83" s="51" t="s">
        <v>147</v>
      </c>
      <c r="E83" s="60" t="str">
        <f aca="false">IF(D83="","",IFERROR(INDEX(Settings!$C$16:$C$45,MATCH(D83,Settings!$B$16:$B$45,0)),"Check category"))</f>
        <v>Overhead</v>
      </c>
      <c r="F83" s="76" t="n">
        <v>145</v>
      </c>
      <c r="G83" s="51" t="s">
        <v>113</v>
      </c>
      <c r="H83" s="51" t="s">
        <v>247</v>
      </c>
      <c r="I83" s="51"/>
      <c r="J83" s="51"/>
    </row>
    <row r="84" customFormat="false" ht="15" hidden="false" customHeight="false" outlineLevel="0" collapsed="false">
      <c r="A84" s="65" t="n">
        <v>46124</v>
      </c>
      <c r="B84" s="51" t="s">
        <v>354</v>
      </c>
      <c r="C84" s="51" t="s">
        <v>355</v>
      </c>
      <c r="D84" s="51" t="s">
        <v>168</v>
      </c>
      <c r="E84" s="60" t="str">
        <f aca="false">IF(D84="","",IFERROR(INDEX(Settings!$C$16:$C$45,MATCH(D84,Settings!$B$16:$B$45,0)),"Check category"))</f>
        <v>Marketing &amp; Advertising</v>
      </c>
      <c r="F84" s="76" t="n">
        <v>39</v>
      </c>
      <c r="G84" s="51" t="s">
        <v>335</v>
      </c>
      <c r="H84" s="51" t="s">
        <v>247</v>
      </c>
      <c r="I84" s="51"/>
      <c r="J84" s="51"/>
    </row>
    <row r="85" customFormat="false" ht="15" hidden="false" customHeight="false" outlineLevel="0" collapsed="false">
      <c r="A85" s="65" t="n">
        <v>46127</v>
      </c>
      <c r="B85" s="51" t="s">
        <v>362</v>
      </c>
      <c r="C85" s="51" t="s">
        <v>363</v>
      </c>
      <c r="D85" s="51" t="s">
        <v>174</v>
      </c>
      <c r="E85" s="60" t="str">
        <f aca="false">IF(D85="","",IFERROR(INDEX(Settings!$C$16:$C$45,MATCH(D85,Settings!$B$16:$B$45,0)),"Check category"))</f>
        <v>Marketing &amp; Advertising</v>
      </c>
      <c r="F85" s="76" t="n">
        <v>29</v>
      </c>
      <c r="G85" s="51" t="s">
        <v>335</v>
      </c>
      <c r="H85" s="51" t="s">
        <v>247</v>
      </c>
      <c r="I85" s="51"/>
      <c r="J85" s="51"/>
    </row>
    <row r="86" customFormat="false" ht="15" hidden="false" customHeight="false" outlineLevel="0" collapsed="false">
      <c r="A86" s="65" t="n">
        <v>46127</v>
      </c>
      <c r="B86" s="51" t="s">
        <v>364</v>
      </c>
      <c r="C86" s="51" t="s">
        <v>365</v>
      </c>
      <c r="D86" s="51" t="s">
        <v>108</v>
      </c>
      <c r="E86" s="60" t="str">
        <f aca="false">IF(D86="","",IFERROR(INDEX(Settings!$C$16:$C$45,MATCH(D86,Settings!$B$16:$B$45,0)),"Check category"))</f>
        <v>Owner Pay &amp; Taxes</v>
      </c>
      <c r="F86" s="76" t="n">
        <v>4500</v>
      </c>
      <c r="G86" s="51" t="s">
        <v>113</v>
      </c>
      <c r="H86" s="51" t="s">
        <v>247</v>
      </c>
      <c r="I86" s="51"/>
      <c r="J86" s="51"/>
    </row>
    <row r="87" customFormat="false" ht="15" hidden="false" customHeight="false" outlineLevel="0" collapsed="false">
      <c r="A87" s="65" t="n">
        <v>46127</v>
      </c>
      <c r="B87" s="51" t="s">
        <v>393</v>
      </c>
      <c r="C87" s="51" t="s">
        <v>394</v>
      </c>
      <c r="D87" s="51" t="s">
        <v>118</v>
      </c>
      <c r="E87" s="60" t="str">
        <f aca="false">IF(D87="","",IFERROR(INDEX(Settings!$C$16:$C$45,MATCH(D87,Settings!$B$16:$B$45,0)),"Check category"))</f>
        <v>Owner Pay &amp; Taxes</v>
      </c>
      <c r="F87" s="76" t="n">
        <v>4500</v>
      </c>
      <c r="G87" s="51" t="s">
        <v>113</v>
      </c>
      <c r="H87" s="51" t="s">
        <v>247</v>
      </c>
      <c r="I87" s="51"/>
      <c r="J87" s="51"/>
    </row>
    <row r="88" customFormat="false" ht="15" hidden="false" customHeight="false" outlineLevel="0" collapsed="false">
      <c r="A88" s="65" t="n">
        <v>46128</v>
      </c>
      <c r="B88" s="51" t="s">
        <v>366</v>
      </c>
      <c r="C88" s="51" t="s">
        <v>367</v>
      </c>
      <c r="D88" s="51" t="s">
        <v>176</v>
      </c>
      <c r="E88" s="60" t="str">
        <f aca="false">IF(D88="","",IFERROR(INDEX(Settings!$C$16:$C$45,MATCH(D88,Settings!$B$16:$B$45,0)),"Check category"))</f>
        <v>Contractors &amp; Vendors</v>
      </c>
      <c r="F88" s="76" t="n">
        <v>250</v>
      </c>
      <c r="G88" s="51" t="s">
        <v>144</v>
      </c>
      <c r="H88" s="51" t="s">
        <v>247</v>
      </c>
      <c r="I88" s="51"/>
      <c r="J88" s="51"/>
    </row>
    <row r="89" customFormat="false" ht="15" hidden="false" customHeight="false" outlineLevel="0" collapsed="false">
      <c r="A89" s="65" t="n">
        <v>46130</v>
      </c>
      <c r="B89" s="51" t="s">
        <v>368</v>
      </c>
      <c r="C89" s="51" t="s">
        <v>369</v>
      </c>
      <c r="D89" s="51" t="s">
        <v>166</v>
      </c>
      <c r="E89" s="60" t="str">
        <f aca="false">IF(D89="","",IFERROR(INDEX(Settings!$C$16:$C$45,MATCH(D89,Settings!$B$16:$B$45,0)),"Check category"))</f>
        <v>Marketing &amp; Advertising</v>
      </c>
      <c r="F89" s="76" t="n">
        <v>450</v>
      </c>
      <c r="G89" s="51" t="s">
        <v>335</v>
      </c>
      <c r="H89" s="51" t="s">
        <v>247</v>
      </c>
      <c r="I89" s="51"/>
      <c r="J89" s="51"/>
    </row>
    <row r="90" customFormat="false" ht="15" hidden="false" customHeight="false" outlineLevel="0" collapsed="false">
      <c r="A90" s="65" t="n">
        <v>46132</v>
      </c>
      <c r="B90" s="51" t="s">
        <v>370</v>
      </c>
      <c r="C90" s="51" t="s">
        <v>180</v>
      </c>
      <c r="D90" s="51" t="s">
        <v>180</v>
      </c>
      <c r="E90" s="60" t="str">
        <f aca="false">IF(D90="","",IFERROR(INDEX(Settings!$C$16:$C$45,MATCH(D90,Settings!$B$16:$B$45,0)),"Check category"))</f>
        <v>Contractors &amp; Vendors</v>
      </c>
      <c r="F90" s="76" t="n">
        <v>350</v>
      </c>
      <c r="G90" s="51" t="s">
        <v>113</v>
      </c>
      <c r="H90" s="51" t="s">
        <v>247</v>
      </c>
      <c r="I90" s="51"/>
      <c r="J90" s="51"/>
    </row>
    <row r="91" customFormat="false" ht="15" hidden="false" customHeight="false" outlineLevel="0" collapsed="false">
      <c r="A91" s="65" t="n">
        <v>46134</v>
      </c>
      <c r="B91" s="51" t="s">
        <v>371</v>
      </c>
      <c r="C91" s="51" t="s">
        <v>372</v>
      </c>
      <c r="D91" s="51" t="s">
        <v>179</v>
      </c>
      <c r="E91" s="60" t="str">
        <f aca="false">IF(D91="","",IFERROR(INDEX(Settings!$C$16:$C$45,MATCH(D91,Settings!$B$16:$B$45,0)),"Check category"))</f>
        <v>Contractors &amp; Vendors</v>
      </c>
      <c r="F91" s="76" t="n">
        <v>100</v>
      </c>
      <c r="G91" s="51" t="s">
        <v>144</v>
      </c>
      <c r="H91" s="51" t="s">
        <v>247</v>
      </c>
      <c r="I91" s="51"/>
      <c r="J91" s="51"/>
    </row>
    <row r="92" customFormat="false" ht="15" hidden="false" customHeight="false" outlineLevel="0" collapsed="false">
      <c r="A92" s="65" t="n">
        <v>46134</v>
      </c>
      <c r="B92" s="51" t="s">
        <v>395</v>
      </c>
      <c r="C92" s="51" t="s">
        <v>396</v>
      </c>
      <c r="D92" s="51" t="s">
        <v>172</v>
      </c>
      <c r="E92" s="60" t="str">
        <f aca="false">IF(D92="","",IFERROR(INDEX(Settings!$C$16:$C$45,MATCH(D92,Settings!$B$16:$B$45,0)),"Check category"))</f>
        <v>Marketing &amp; Advertising</v>
      </c>
      <c r="F92" s="76" t="n">
        <v>750</v>
      </c>
      <c r="G92" s="51" t="s">
        <v>335</v>
      </c>
      <c r="H92" s="51" t="s">
        <v>247</v>
      </c>
      <c r="I92" s="51"/>
      <c r="J92" s="51"/>
    </row>
    <row r="93" customFormat="false" ht="15" hidden="false" customHeight="false" outlineLevel="0" collapsed="false">
      <c r="A93" s="65" t="n">
        <v>46136</v>
      </c>
      <c r="B93" s="51" t="s">
        <v>390</v>
      </c>
      <c r="C93" s="51" t="s">
        <v>391</v>
      </c>
      <c r="D93" s="51" t="s">
        <v>178</v>
      </c>
      <c r="E93" s="60" t="str">
        <f aca="false">IF(D93="","",IFERROR(INDEX(Settings!$C$16:$C$45,MATCH(D93,Settings!$B$16:$B$45,0)),"Check category"))</f>
        <v>Contractors &amp; Vendors</v>
      </c>
      <c r="F93" s="76" t="n">
        <v>1500</v>
      </c>
      <c r="G93" s="51" t="s">
        <v>113</v>
      </c>
      <c r="H93" s="51" t="s">
        <v>247</v>
      </c>
      <c r="I93" s="51" t="s">
        <v>219</v>
      </c>
      <c r="J93" s="51"/>
    </row>
    <row r="94" customFormat="false" ht="15" hidden="false" customHeight="false" outlineLevel="0" collapsed="false">
      <c r="A94" s="65" t="n">
        <v>46137</v>
      </c>
      <c r="B94" s="51" t="s">
        <v>373</v>
      </c>
      <c r="C94" s="51" t="s">
        <v>374</v>
      </c>
      <c r="D94" s="51" t="s">
        <v>172</v>
      </c>
      <c r="E94" s="60" t="str">
        <f aca="false">IF(D94="","",IFERROR(INDEX(Settings!$C$16:$C$45,MATCH(D94,Settings!$B$16:$B$45,0)),"Check category"))</f>
        <v>Marketing &amp; Advertising</v>
      </c>
      <c r="F94" s="76" t="n">
        <v>25</v>
      </c>
      <c r="G94" s="51" t="s">
        <v>335</v>
      </c>
      <c r="H94" s="51" t="s">
        <v>247</v>
      </c>
      <c r="I94" s="51"/>
      <c r="J94" s="51"/>
    </row>
    <row r="95" customFormat="false" ht="15" hidden="false" customHeight="false" outlineLevel="0" collapsed="false">
      <c r="A95" s="65" t="n">
        <v>46139</v>
      </c>
      <c r="B95" s="51" t="s">
        <v>375</v>
      </c>
      <c r="C95" s="51" t="s">
        <v>397</v>
      </c>
      <c r="D95" s="51" t="s">
        <v>159</v>
      </c>
      <c r="E95" s="60" t="str">
        <f aca="false">IF(D95="","",IFERROR(INDEX(Settings!$C$16:$C$45,MATCH(D95,Settings!$B$16:$B$45,0)),"Check category"))</f>
        <v>Overhead</v>
      </c>
      <c r="F95" s="76" t="n">
        <v>65.25</v>
      </c>
      <c r="G95" s="51" t="s">
        <v>113</v>
      </c>
      <c r="H95" s="51" t="s">
        <v>247</v>
      </c>
      <c r="I95" s="51"/>
      <c r="J95" s="51"/>
    </row>
    <row r="96" customFormat="false" ht="15" hidden="false" customHeight="false" outlineLevel="0" collapsed="false">
      <c r="A96" s="65" t="n">
        <v>46140</v>
      </c>
      <c r="B96" s="51" t="s">
        <v>377</v>
      </c>
      <c r="C96" s="51" t="s">
        <v>378</v>
      </c>
      <c r="D96" s="51" t="s">
        <v>162</v>
      </c>
      <c r="E96" s="60" t="str">
        <f aca="false">IF(D96="","",IFERROR(INDEX(Settings!$C$16:$C$45,MATCH(D96,Settings!$B$16:$B$45,0)),"Check category"))</f>
        <v>Overhead</v>
      </c>
      <c r="F96" s="76" t="n">
        <v>64.55</v>
      </c>
      <c r="G96" s="51" t="s">
        <v>113</v>
      </c>
      <c r="H96" s="51" t="s">
        <v>247</v>
      </c>
      <c r="I96" s="51"/>
      <c r="J96" s="51"/>
    </row>
    <row r="97" customFormat="false" ht="15" hidden="false" customHeight="false" outlineLevel="0" collapsed="false">
      <c r="A97" s="65" t="n">
        <v>46143</v>
      </c>
      <c r="B97" s="51" t="s">
        <v>331</v>
      </c>
      <c r="C97" s="51" t="s">
        <v>332</v>
      </c>
      <c r="D97" s="51" t="s">
        <v>126</v>
      </c>
      <c r="E97" s="60" t="str">
        <f aca="false">IF(D97="","",IFERROR(INDEX(Settings!$C$16:$C$45,MATCH(D97,Settings!$B$16:$B$45,0)),"Check category"))</f>
        <v>Overhead</v>
      </c>
      <c r="F97" s="76" t="n">
        <v>550</v>
      </c>
      <c r="G97" s="51" t="s">
        <v>113</v>
      </c>
      <c r="H97" s="51" t="s">
        <v>247</v>
      </c>
      <c r="I97" s="51"/>
      <c r="J97" s="51"/>
    </row>
    <row r="98" customFormat="false" ht="15" hidden="false" customHeight="false" outlineLevel="0" collapsed="false">
      <c r="A98" s="65" t="n">
        <v>46144</v>
      </c>
      <c r="B98" s="51" t="s">
        <v>333</v>
      </c>
      <c r="C98" s="51" t="s">
        <v>334</v>
      </c>
      <c r="D98" s="51" t="s">
        <v>142</v>
      </c>
      <c r="E98" s="60" t="str">
        <f aca="false">IF(D98="","",IFERROR(INDEX(Settings!$C$16:$C$45,MATCH(D98,Settings!$B$16:$B$45,0)),"Check category"))</f>
        <v>Overhead</v>
      </c>
      <c r="F98" s="76" t="n">
        <v>38</v>
      </c>
      <c r="G98" s="51" t="s">
        <v>335</v>
      </c>
      <c r="H98" s="51" t="s">
        <v>247</v>
      </c>
      <c r="I98" s="51"/>
      <c r="J98" s="51"/>
    </row>
    <row r="99" customFormat="false" ht="15" hidden="false" customHeight="false" outlineLevel="0" collapsed="false">
      <c r="A99" s="65" t="n">
        <v>46144</v>
      </c>
      <c r="B99" s="51" t="s">
        <v>336</v>
      </c>
      <c r="C99" s="51" t="s">
        <v>337</v>
      </c>
      <c r="D99" s="51" t="s">
        <v>142</v>
      </c>
      <c r="E99" s="60" t="str">
        <f aca="false">IF(D99="","",IFERROR(INDEX(Settings!$C$16:$C$45,MATCH(D99,Settings!$B$16:$B$45,0)),"Check category"))</f>
        <v>Overhead</v>
      </c>
      <c r="F99" s="76" t="n">
        <v>22</v>
      </c>
      <c r="G99" s="51" t="s">
        <v>335</v>
      </c>
      <c r="H99" s="51" t="s">
        <v>247</v>
      </c>
      <c r="I99" s="51"/>
      <c r="J99" s="51"/>
    </row>
    <row r="100" customFormat="false" ht="15" hidden="false" customHeight="false" outlineLevel="0" collapsed="false">
      <c r="A100" s="65" t="n">
        <v>46145</v>
      </c>
      <c r="B100" s="51" t="s">
        <v>338</v>
      </c>
      <c r="C100" s="51" t="s">
        <v>339</v>
      </c>
      <c r="D100" s="51" t="s">
        <v>142</v>
      </c>
      <c r="E100" s="60" t="str">
        <f aca="false">IF(D100="","",IFERROR(INDEX(Settings!$C$16:$C$45,MATCH(D100,Settings!$B$16:$B$45,0)),"Check category"))</f>
        <v>Overhead</v>
      </c>
      <c r="F100" s="76" t="n">
        <v>15</v>
      </c>
      <c r="G100" s="51" t="s">
        <v>335</v>
      </c>
      <c r="H100" s="51" t="s">
        <v>247</v>
      </c>
      <c r="I100" s="51"/>
      <c r="J100" s="51"/>
    </row>
    <row r="101" customFormat="false" ht="15" hidden="false" customHeight="false" outlineLevel="0" collapsed="false">
      <c r="A101" s="65" t="n">
        <v>46146</v>
      </c>
      <c r="B101" s="51" t="s">
        <v>340</v>
      </c>
      <c r="C101" s="51" t="s">
        <v>341</v>
      </c>
      <c r="D101" s="51" t="s">
        <v>142</v>
      </c>
      <c r="E101" s="60" t="str">
        <f aca="false">IF(D101="","",IFERROR(INDEX(Settings!$C$16:$C$45,MATCH(D101,Settings!$B$16:$B$45,0)),"Check category"))</f>
        <v>Overhead</v>
      </c>
      <c r="F101" s="76" t="n">
        <v>20</v>
      </c>
      <c r="G101" s="51" t="s">
        <v>335</v>
      </c>
      <c r="H101" s="51" t="s">
        <v>247</v>
      </c>
      <c r="I101" s="51"/>
      <c r="J101" s="51"/>
    </row>
    <row r="102" customFormat="false" ht="15" hidden="false" customHeight="false" outlineLevel="0" collapsed="false">
      <c r="A102" s="65" t="n">
        <v>46146</v>
      </c>
      <c r="B102" s="51" t="s">
        <v>342</v>
      </c>
      <c r="C102" s="51" t="s">
        <v>343</v>
      </c>
      <c r="D102" s="51" t="s">
        <v>142</v>
      </c>
      <c r="E102" s="60" t="str">
        <f aca="false">IF(D102="","",IFERROR(INDEX(Settings!$C$16:$C$45,MATCH(D102,Settings!$B$16:$B$45,0)),"Check category"))</f>
        <v>Overhead</v>
      </c>
      <c r="F102" s="76" t="n">
        <v>12</v>
      </c>
      <c r="G102" s="51" t="s">
        <v>335</v>
      </c>
      <c r="H102" s="51" t="s">
        <v>247</v>
      </c>
      <c r="I102" s="51"/>
      <c r="J102" s="51"/>
    </row>
    <row r="103" customFormat="false" ht="15" hidden="false" customHeight="false" outlineLevel="0" collapsed="false">
      <c r="A103" s="65" t="n">
        <v>46147</v>
      </c>
      <c r="B103" s="51" t="s">
        <v>344</v>
      </c>
      <c r="C103" s="51" t="s">
        <v>345</v>
      </c>
      <c r="D103" s="51" t="s">
        <v>134</v>
      </c>
      <c r="E103" s="60" t="str">
        <f aca="false">IF(D103="","",IFERROR(INDEX(Settings!$C$16:$C$45,MATCH(D103,Settings!$B$16:$B$45,0)),"Check category"))</f>
        <v>Overhead</v>
      </c>
      <c r="F103" s="76" t="n">
        <v>77.26</v>
      </c>
      <c r="G103" s="51" t="s">
        <v>130</v>
      </c>
      <c r="H103" s="51" t="s">
        <v>247</v>
      </c>
      <c r="I103" s="51"/>
      <c r="J103" s="51"/>
    </row>
    <row r="104" customFormat="false" ht="15" hidden="false" customHeight="false" outlineLevel="0" collapsed="false">
      <c r="A104" s="65" t="n">
        <v>46148</v>
      </c>
      <c r="B104" s="51" t="s">
        <v>346</v>
      </c>
      <c r="C104" s="51" t="s">
        <v>347</v>
      </c>
      <c r="D104" s="51" t="s">
        <v>134</v>
      </c>
      <c r="E104" s="60" t="str">
        <f aca="false">IF(D104="","",IFERROR(INDEX(Settings!$C$16:$C$45,MATCH(D104,Settings!$B$16:$B$45,0)),"Check category"))</f>
        <v>Overhead</v>
      </c>
      <c r="F104" s="76" t="n">
        <v>65</v>
      </c>
      <c r="G104" s="51" t="s">
        <v>130</v>
      </c>
      <c r="H104" s="51" t="s">
        <v>247</v>
      </c>
      <c r="I104" s="51"/>
      <c r="J104" s="51"/>
    </row>
    <row r="105" customFormat="false" ht="15" hidden="false" customHeight="false" outlineLevel="0" collapsed="false">
      <c r="A105" s="65" t="n">
        <v>46148</v>
      </c>
      <c r="B105" s="51" t="s">
        <v>384</v>
      </c>
      <c r="C105" s="51" t="s">
        <v>398</v>
      </c>
      <c r="D105" s="51" t="s">
        <v>170</v>
      </c>
      <c r="E105" s="60" t="str">
        <f aca="false">IF(D105="","",IFERROR(INDEX(Settings!$C$16:$C$45,MATCH(D105,Settings!$B$16:$B$45,0)),"Check category"))</f>
        <v>Marketing &amp; Advertising</v>
      </c>
      <c r="F105" s="76" t="n">
        <v>45</v>
      </c>
      <c r="G105" s="51" t="s">
        <v>335</v>
      </c>
      <c r="H105" s="51" t="s">
        <v>247</v>
      </c>
      <c r="I105" s="51"/>
      <c r="J105" s="51"/>
    </row>
    <row r="106" customFormat="false" ht="15" hidden="false" customHeight="false" outlineLevel="0" collapsed="false">
      <c r="A106" s="65" t="n">
        <v>46150</v>
      </c>
      <c r="B106" s="51" t="s">
        <v>348</v>
      </c>
      <c r="C106" s="51" t="s">
        <v>349</v>
      </c>
      <c r="D106" s="51" t="s">
        <v>138</v>
      </c>
      <c r="E106" s="60" t="str">
        <f aca="false">IF(D106="","",IFERROR(INDEX(Settings!$C$16:$C$45,MATCH(D106,Settings!$B$16:$B$45,0)),"Check category"))</f>
        <v>Overhead</v>
      </c>
      <c r="F106" s="76" t="n">
        <v>85</v>
      </c>
      <c r="G106" s="51" t="s">
        <v>335</v>
      </c>
      <c r="H106" s="51" t="s">
        <v>247</v>
      </c>
      <c r="I106" s="51"/>
      <c r="J106" s="51"/>
    </row>
    <row r="107" customFormat="false" ht="15" hidden="false" customHeight="false" outlineLevel="0" collapsed="false">
      <c r="A107" s="65" t="n">
        <v>46151</v>
      </c>
      <c r="B107" s="51" t="s">
        <v>379</v>
      </c>
      <c r="C107" s="51" t="s">
        <v>380</v>
      </c>
      <c r="D107" s="51" t="s">
        <v>154</v>
      </c>
      <c r="E107" s="60" t="str">
        <f aca="false">IF(D107="","",IFERROR(INDEX(Settings!$C$16:$C$45,MATCH(D107,Settings!$B$16:$B$45,0)),"Check category"))</f>
        <v>Overhead</v>
      </c>
      <c r="F107" s="76" t="n">
        <v>39.38</v>
      </c>
      <c r="G107" s="51" t="s">
        <v>335</v>
      </c>
      <c r="H107" s="51" t="s">
        <v>247</v>
      </c>
      <c r="I107" s="51"/>
      <c r="J107" s="51"/>
    </row>
    <row r="108" customFormat="false" ht="15" hidden="false" customHeight="false" outlineLevel="0" collapsed="false">
      <c r="A108" s="65" t="n">
        <v>46152</v>
      </c>
      <c r="B108" s="51" t="s">
        <v>352</v>
      </c>
      <c r="C108" s="51" t="s">
        <v>353</v>
      </c>
      <c r="D108" s="51" t="s">
        <v>147</v>
      </c>
      <c r="E108" s="60" t="str">
        <f aca="false">IF(D108="","",IFERROR(INDEX(Settings!$C$16:$C$45,MATCH(D108,Settings!$B$16:$B$45,0)),"Check category"))</f>
        <v>Overhead</v>
      </c>
      <c r="F108" s="76" t="n">
        <v>145</v>
      </c>
      <c r="G108" s="51" t="s">
        <v>113</v>
      </c>
      <c r="H108" s="51" t="s">
        <v>247</v>
      </c>
      <c r="I108" s="51"/>
      <c r="J108" s="51"/>
    </row>
    <row r="109" customFormat="false" ht="15" hidden="false" customHeight="false" outlineLevel="0" collapsed="false">
      <c r="A109" s="65" t="n">
        <v>46154</v>
      </c>
      <c r="B109" s="51" t="s">
        <v>354</v>
      </c>
      <c r="C109" s="51" t="s">
        <v>355</v>
      </c>
      <c r="D109" s="51" t="s">
        <v>168</v>
      </c>
      <c r="E109" s="60" t="str">
        <f aca="false">IF(D109="","",IFERROR(INDEX(Settings!$C$16:$C$45,MATCH(D109,Settings!$B$16:$B$45,0)),"Check category"))</f>
        <v>Marketing &amp; Advertising</v>
      </c>
      <c r="F109" s="76" t="n">
        <v>39</v>
      </c>
      <c r="G109" s="51" t="s">
        <v>335</v>
      </c>
      <c r="H109" s="51" t="s">
        <v>247</v>
      </c>
      <c r="I109" s="51"/>
      <c r="J109" s="51"/>
    </row>
    <row r="110" customFormat="false" ht="15" hidden="false" customHeight="false" outlineLevel="0" collapsed="false">
      <c r="A110" s="65" t="n">
        <v>46156</v>
      </c>
      <c r="B110" s="51" t="s">
        <v>358</v>
      </c>
      <c r="C110" s="51" t="s">
        <v>359</v>
      </c>
      <c r="D110" s="51" t="s">
        <v>156</v>
      </c>
      <c r="E110" s="60" t="str">
        <f aca="false">IF(D110="","",IFERROR(INDEX(Settings!$C$16:$C$45,MATCH(D110,Settings!$B$16:$B$45,0)),"Check category"))</f>
        <v>Overhead</v>
      </c>
      <c r="F110" s="76" t="n">
        <v>65.91</v>
      </c>
      <c r="G110" s="51" t="s">
        <v>335</v>
      </c>
      <c r="H110" s="51" t="s">
        <v>247</v>
      </c>
      <c r="I110" s="51"/>
      <c r="J110" s="51"/>
    </row>
    <row r="111" customFormat="false" ht="15" hidden="false" customHeight="false" outlineLevel="0" collapsed="false">
      <c r="A111" s="65" t="n">
        <v>46157</v>
      </c>
      <c r="B111" s="51" t="s">
        <v>362</v>
      </c>
      <c r="C111" s="51" t="s">
        <v>363</v>
      </c>
      <c r="D111" s="51" t="s">
        <v>174</v>
      </c>
      <c r="E111" s="60" t="str">
        <f aca="false">IF(D111="","",IFERROR(INDEX(Settings!$C$16:$C$45,MATCH(D111,Settings!$B$16:$B$45,0)),"Check category"))</f>
        <v>Marketing &amp; Advertising</v>
      </c>
      <c r="F111" s="76" t="n">
        <v>29</v>
      </c>
      <c r="G111" s="51" t="s">
        <v>335</v>
      </c>
      <c r="H111" s="51" t="s">
        <v>247</v>
      </c>
      <c r="I111" s="51"/>
      <c r="J111" s="51"/>
    </row>
    <row r="112" customFormat="false" ht="15" hidden="false" customHeight="false" outlineLevel="0" collapsed="false">
      <c r="A112" s="65" t="n">
        <v>46157</v>
      </c>
      <c r="B112" s="51" t="s">
        <v>364</v>
      </c>
      <c r="C112" s="51" t="s">
        <v>365</v>
      </c>
      <c r="D112" s="51" t="s">
        <v>108</v>
      </c>
      <c r="E112" s="60" t="str">
        <f aca="false">IF(D112="","",IFERROR(INDEX(Settings!$C$16:$C$45,MATCH(D112,Settings!$B$16:$B$45,0)),"Check category"))</f>
        <v>Owner Pay &amp; Taxes</v>
      </c>
      <c r="F112" s="76" t="n">
        <v>4500</v>
      </c>
      <c r="G112" s="51" t="s">
        <v>113</v>
      </c>
      <c r="H112" s="51" t="s">
        <v>247</v>
      </c>
      <c r="I112" s="51"/>
      <c r="J112" s="51"/>
    </row>
    <row r="113" customFormat="false" ht="15" hidden="false" customHeight="false" outlineLevel="0" collapsed="false">
      <c r="A113" s="65" t="n">
        <v>46160</v>
      </c>
      <c r="B113" s="51" t="s">
        <v>383</v>
      </c>
      <c r="C113" s="51" t="s">
        <v>369</v>
      </c>
      <c r="D113" s="51" t="s">
        <v>166</v>
      </c>
      <c r="E113" s="60" t="str">
        <f aca="false">IF(D113="","",IFERROR(INDEX(Settings!$C$16:$C$45,MATCH(D113,Settings!$B$16:$B$45,0)),"Check category"))</f>
        <v>Marketing &amp; Advertising</v>
      </c>
      <c r="F113" s="76" t="n">
        <v>500</v>
      </c>
      <c r="G113" s="51" t="s">
        <v>335</v>
      </c>
      <c r="H113" s="51" t="s">
        <v>247</v>
      </c>
      <c r="I113" s="51"/>
      <c r="J113" s="51"/>
    </row>
    <row r="114" customFormat="false" ht="15" hidden="false" customHeight="false" outlineLevel="0" collapsed="false">
      <c r="A114" s="65" t="n">
        <v>46162</v>
      </c>
      <c r="B114" s="51" t="s">
        <v>370</v>
      </c>
      <c r="C114" s="51" t="s">
        <v>180</v>
      </c>
      <c r="D114" s="51" t="s">
        <v>180</v>
      </c>
      <c r="E114" s="60" t="str">
        <f aca="false">IF(D114="","",IFERROR(INDEX(Settings!$C$16:$C$45,MATCH(D114,Settings!$B$16:$B$45,0)),"Check category"))</f>
        <v>Contractors &amp; Vendors</v>
      </c>
      <c r="F114" s="76" t="n">
        <v>350</v>
      </c>
      <c r="G114" s="51" t="s">
        <v>113</v>
      </c>
      <c r="H114" s="51" t="s">
        <v>247</v>
      </c>
      <c r="I114" s="51"/>
      <c r="J114" s="51"/>
    </row>
    <row r="115" customFormat="false" ht="15" hidden="false" customHeight="false" outlineLevel="0" collapsed="false">
      <c r="A115" s="65" t="n">
        <v>46164</v>
      </c>
      <c r="B115" s="51" t="s">
        <v>371</v>
      </c>
      <c r="C115" s="51" t="s">
        <v>372</v>
      </c>
      <c r="D115" s="51" t="s">
        <v>179</v>
      </c>
      <c r="E115" s="60" t="str">
        <f aca="false">IF(D115="","",IFERROR(INDEX(Settings!$C$16:$C$45,MATCH(D115,Settings!$B$16:$B$45,0)),"Check category"))</f>
        <v>Contractors &amp; Vendors</v>
      </c>
      <c r="F115" s="76" t="n">
        <v>100</v>
      </c>
      <c r="G115" s="51" t="s">
        <v>144</v>
      </c>
      <c r="H115" s="51" t="s">
        <v>247</v>
      </c>
      <c r="I115" s="51"/>
      <c r="J115" s="51"/>
    </row>
    <row r="116" customFormat="false" ht="15" hidden="false" customHeight="false" outlineLevel="0" collapsed="false">
      <c r="A116" s="65" t="n">
        <v>46167</v>
      </c>
      <c r="B116" s="51" t="s">
        <v>373</v>
      </c>
      <c r="C116" s="51" t="s">
        <v>374</v>
      </c>
      <c r="D116" s="51" t="s">
        <v>172</v>
      </c>
      <c r="E116" s="60" t="str">
        <f aca="false">IF(D116="","",IFERROR(INDEX(Settings!$C$16:$C$45,MATCH(D116,Settings!$B$16:$B$45,0)),"Check category"))</f>
        <v>Marketing &amp; Advertising</v>
      </c>
      <c r="F116" s="76" t="n">
        <v>25</v>
      </c>
      <c r="G116" s="51" t="s">
        <v>335</v>
      </c>
      <c r="H116" s="51" t="s">
        <v>247</v>
      </c>
      <c r="I116" s="51"/>
      <c r="J116" s="51"/>
    </row>
    <row r="117" customFormat="false" ht="15" hidden="false" customHeight="false" outlineLevel="0" collapsed="false">
      <c r="A117" s="65" t="n">
        <v>46169</v>
      </c>
      <c r="B117" s="51" t="s">
        <v>375</v>
      </c>
      <c r="C117" s="51" t="s">
        <v>399</v>
      </c>
      <c r="D117" s="51" t="s">
        <v>159</v>
      </c>
      <c r="E117" s="60" t="str">
        <f aca="false">IF(D117="","",IFERROR(INDEX(Settings!$C$16:$C$45,MATCH(D117,Settings!$B$16:$B$45,0)),"Check category"))</f>
        <v>Overhead</v>
      </c>
      <c r="F117" s="76" t="n">
        <v>56.55</v>
      </c>
      <c r="G117" s="51" t="s">
        <v>113</v>
      </c>
      <c r="H117" s="51" t="s">
        <v>247</v>
      </c>
      <c r="I117" s="51"/>
      <c r="J117" s="51"/>
    </row>
    <row r="118" customFormat="false" ht="15" hidden="false" customHeight="false" outlineLevel="0" collapsed="false">
      <c r="A118" s="65" t="n">
        <v>46170</v>
      </c>
      <c r="B118" s="51" t="s">
        <v>377</v>
      </c>
      <c r="C118" s="51" t="s">
        <v>378</v>
      </c>
      <c r="D118" s="51" t="s">
        <v>162</v>
      </c>
      <c r="E118" s="60" t="str">
        <f aca="false">IF(D118="","",IFERROR(INDEX(Settings!$C$16:$C$45,MATCH(D118,Settings!$B$16:$B$45,0)),"Check category"))</f>
        <v>Overhead</v>
      </c>
      <c r="F118" s="76" t="n">
        <v>63.66</v>
      </c>
      <c r="G118" s="51" t="s">
        <v>113</v>
      </c>
      <c r="H118" s="51" t="s">
        <v>247</v>
      </c>
      <c r="I118" s="51"/>
      <c r="J118" s="51"/>
    </row>
    <row r="119" customFormat="false" ht="15" hidden="false" customHeight="false" outlineLevel="0" collapsed="false">
      <c r="A119" s="65" t="n">
        <v>46174</v>
      </c>
      <c r="B119" s="51" t="s">
        <v>331</v>
      </c>
      <c r="C119" s="51" t="s">
        <v>332</v>
      </c>
      <c r="D119" s="51" t="s">
        <v>126</v>
      </c>
      <c r="E119" s="60" t="str">
        <f aca="false">IF(D119="","",IFERROR(INDEX(Settings!$C$16:$C$45,MATCH(D119,Settings!$B$16:$B$45,0)),"Check category"))</f>
        <v>Overhead</v>
      </c>
      <c r="F119" s="76" t="n">
        <v>550</v>
      </c>
      <c r="G119" s="51" t="s">
        <v>113</v>
      </c>
      <c r="H119" s="51" t="s">
        <v>247</v>
      </c>
      <c r="I119" s="51"/>
      <c r="J119" s="51"/>
    </row>
    <row r="120" customFormat="false" ht="15" hidden="false" customHeight="false" outlineLevel="0" collapsed="false">
      <c r="A120" s="65" t="n">
        <v>46175</v>
      </c>
      <c r="B120" s="51" t="s">
        <v>333</v>
      </c>
      <c r="C120" s="51" t="s">
        <v>334</v>
      </c>
      <c r="D120" s="51" t="s">
        <v>142</v>
      </c>
      <c r="E120" s="60" t="str">
        <f aca="false">IF(D120="","",IFERROR(INDEX(Settings!$C$16:$C$45,MATCH(D120,Settings!$B$16:$B$45,0)),"Check category"))</f>
        <v>Overhead</v>
      </c>
      <c r="F120" s="76" t="n">
        <v>38</v>
      </c>
      <c r="G120" s="51" t="s">
        <v>335</v>
      </c>
      <c r="H120" s="51" t="s">
        <v>247</v>
      </c>
      <c r="I120" s="51"/>
      <c r="J120" s="51"/>
    </row>
    <row r="121" customFormat="false" ht="15" hidden="false" customHeight="false" outlineLevel="0" collapsed="false">
      <c r="A121" s="65" t="n">
        <v>46175</v>
      </c>
      <c r="B121" s="51" t="s">
        <v>336</v>
      </c>
      <c r="C121" s="51" t="s">
        <v>337</v>
      </c>
      <c r="D121" s="51" t="s">
        <v>142</v>
      </c>
      <c r="E121" s="60" t="str">
        <f aca="false">IF(D121="","",IFERROR(INDEX(Settings!$C$16:$C$45,MATCH(D121,Settings!$B$16:$B$45,0)),"Check category"))</f>
        <v>Overhead</v>
      </c>
      <c r="F121" s="76" t="n">
        <v>22</v>
      </c>
      <c r="G121" s="51" t="s">
        <v>335</v>
      </c>
      <c r="H121" s="51" t="s">
        <v>247</v>
      </c>
      <c r="I121" s="51"/>
      <c r="J121" s="51"/>
    </row>
    <row r="122" customFormat="false" ht="15" hidden="false" customHeight="false" outlineLevel="0" collapsed="false">
      <c r="A122" s="65" t="n">
        <v>46176</v>
      </c>
      <c r="B122" s="51" t="s">
        <v>338</v>
      </c>
      <c r="C122" s="51" t="s">
        <v>339</v>
      </c>
      <c r="D122" s="51" t="s">
        <v>142</v>
      </c>
      <c r="E122" s="60" t="str">
        <f aca="false">IF(D122="","",IFERROR(INDEX(Settings!$C$16:$C$45,MATCH(D122,Settings!$B$16:$B$45,0)),"Check category"))</f>
        <v>Overhead</v>
      </c>
      <c r="F122" s="76" t="n">
        <v>15</v>
      </c>
      <c r="G122" s="51" t="s">
        <v>335</v>
      </c>
      <c r="H122" s="51" t="s">
        <v>247</v>
      </c>
      <c r="I122" s="51"/>
      <c r="J122" s="51"/>
    </row>
    <row r="123" customFormat="false" ht="15" hidden="false" customHeight="false" outlineLevel="0" collapsed="false">
      <c r="A123" s="65" t="n">
        <v>46177</v>
      </c>
      <c r="B123" s="51" t="s">
        <v>340</v>
      </c>
      <c r="C123" s="51" t="s">
        <v>341</v>
      </c>
      <c r="D123" s="51" t="s">
        <v>142</v>
      </c>
      <c r="E123" s="60" t="str">
        <f aca="false">IF(D123="","",IFERROR(INDEX(Settings!$C$16:$C$45,MATCH(D123,Settings!$B$16:$B$45,0)),"Check category"))</f>
        <v>Overhead</v>
      </c>
      <c r="F123" s="76" t="n">
        <v>20</v>
      </c>
      <c r="G123" s="51" t="s">
        <v>335</v>
      </c>
      <c r="H123" s="51" t="s">
        <v>247</v>
      </c>
      <c r="I123" s="51"/>
      <c r="J123" s="51"/>
    </row>
    <row r="124" customFormat="false" ht="15" hidden="false" customHeight="false" outlineLevel="0" collapsed="false">
      <c r="A124" s="65" t="n">
        <v>46177</v>
      </c>
      <c r="B124" s="51" t="s">
        <v>342</v>
      </c>
      <c r="C124" s="51" t="s">
        <v>343</v>
      </c>
      <c r="D124" s="51" t="s">
        <v>142</v>
      </c>
      <c r="E124" s="60" t="str">
        <f aca="false">IF(D124="","",IFERROR(INDEX(Settings!$C$16:$C$45,MATCH(D124,Settings!$B$16:$B$45,0)),"Check category"))</f>
        <v>Overhead</v>
      </c>
      <c r="F124" s="76" t="n">
        <v>12</v>
      </c>
      <c r="G124" s="51" t="s">
        <v>335</v>
      </c>
      <c r="H124" s="51" t="s">
        <v>247</v>
      </c>
      <c r="I124" s="51"/>
      <c r="J124" s="51"/>
    </row>
    <row r="125" customFormat="false" ht="15" hidden="false" customHeight="false" outlineLevel="0" collapsed="false">
      <c r="A125" s="65" t="n">
        <v>46178</v>
      </c>
      <c r="B125" s="51" t="s">
        <v>344</v>
      </c>
      <c r="C125" s="51" t="s">
        <v>345</v>
      </c>
      <c r="D125" s="51" t="s">
        <v>134</v>
      </c>
      <c r="E125" s="60" t="str">
        <f aca="false">IF(D125="","",IFERROR(INDEX(Settings!$C$16:$C$45,MATCH(D125,Settings!$B$16:$B$45,0)),"Check category"))</f>
        <v>Overhead</v>
      </c>
      <c r="F125" s="76" t="n">
        <v>68.6</v>
      </c>
      <c r="G125" s="51" t="s">
        <v>130</v>
      </c>
      <c r="H125" s="51" t="s">
        <v>247</v>
      </c>
      <c r="I125" s="51"/>
      <c r="J125" s="51"/>
    </row>
    <row r="126" customFormat="false" ht="15" hidden="false" customHeight="false" outlineLevel="0" collapsed="false">
      <c r="A126" s="65" t="n">
        <v>46179</v>
      </c>
      <c r="B126" s="51" t="s">
        <v>346</v>
      </c>
      <c r="C126" s="51" t="s">
        <v>347</v>
      </c>
      <c r="D126" s="51" t="s">
        <v>134</v>
      </c>
      <c r="E126" s="60" t="str">
        <f aca="false">IF(D126="","",IFERROR(INDEX(Settings!$C$16:$C$45,MATCH(D126,Settings!$B$16:$B$45,0)),"Check category"))</f>
        <v>Overhead</v>
      </c>
      <c r="F126" s="76" t="n">
        <v>65</v>
      </c>
      <c r="G126" s="51" t="s">
        <v>130</v>
      </c>
      <c r="H126" s="51" t="s">
        <v>247</v>
      </c>
      <c r="I126" s="51"/>
      <c r="J126" s="51"/>
    </row>
    <row r="127" customFormat="false" ht="15" hidden="false" customHeight="false" outlineLevel="0" collapsed="false">
      <c r="A127" s="65" t="n">
        <v>46181</v>
      </c>
      <c r="B127" s="51" t="s">
        <v>348</v>
      </c>
      <c r="C127" s="51" t="s">
        <v>349</v>
      </c>
      <c r="D127" s="51" t="s">
        <v>138</v>
      </c>
      <c r="E127" s="60" t="str">
        <f aca="false">IF(D127="","",IFERROR(INDEX(Settings!$C$16:$C$45,MATCH(D127,Settings!$B$16:$B$45,0)),"Check category"))</f>
        <v>Overhead</v>
      </c>
      <c r="F127" s="76" t="n">
        <v>85</v>
      </c>
      <c r="G127" s="51" t="s">
        <v>335</v>
      </c>
      <c r="H127" s="51" t="s">
        <v>247</v>
      </c>
      <c r="I127" s="51"/>
      <c r="J127" s="51"/>
    </row>
    <row r="128" customFormat="false" ht="15" hidden="false" customHeight="false" outlineLevel="0" collapsed="false">
      <c r="A128" s="65" t="n">
        <v>46183</v>
      </c>
      <c r="B128" s="51" t="s">
        <v>352</v>
      </c>
      <c r="C128" s="51" t="s">
        <v>353</v>
      </c>
      <c r="D128" s="51" t="s">
        <v>147</v>
      </c>
      <c r="E128" s="60" t="str">
        <f aca="false">IF(D128="","",IFERROR(INDEX(Settings!$C$16:$C$45,MATCH(D128,Settings!$B$16:$B$45,0)),"Check category"))</f>
        <v>Overhead</v>
      </c>
      <c r="F128" s="76" t="n">
        <v>145</v>
      </c>
      <c r="G128" s="51" t="s">
        <v>113</v>
      </c>
      <c r="H128" s="51" t="s">
        <v>247</v>
      </c>
      <c r="I128" s="51"/>
      <c r="J128" s="51"/>
    </row>
    <row r="129" customFormat="false" ht="15" hidden="false" customHeight="false" outlineLevel="0" collapsed="false">
      <c r="A129" s="65" t="n">
        <v>46185</v>
      </c>
      <c r="B129" s="51" t="s">
        <v>354</v>
      </c>
      <c r="C129" s="51" t="s">
        <v>355</v>
      </c>
      <c r="D129" s="51" t="s">
        <v>168</v>
      </c>
      <c r="E129" s="60" t="str">
        <f aca="false">IF(D129="","",IFERROR(INDEX(Settings!$C$16:$C$45,MATCH(D129,Settings!$B$16:$B$45,0)),"Check category"))</f>
        <v>Marketing &amp; Advertising</v>
      </c>
      <c r="F129" s="76" t="n">
        <v>39</v>
      </c>
      <c r="G129" s="51" t="s">
        <v>335</v>
      </c>
      <c r="H129" s="51" t="s">
        <v>247</v>
      </c>
      <c r="I129" s="51"/>
      <c r="J129" s="51"/>
    </row>
    <row r="130" customFormat="false" ht="15" hidden="false" customHeight="false" outlineLevel="0" collapsed="false">
      <c r="A130" s="65" t="n">
        <v>46188</v>
      </c>
      <c r="B130" s="51" t="s">
        <v>362</v>
      </c>
      <c r="C130" s="51" t="s">
        <v>363</v>
      </c>
      <c r="D130" s="51" t="s">
        <v>174</v>
      </c>
      <c r="E130" s="60" t="str">
        <f aca="false">IF(D130="","",IFERROR(INDEX(Settings!$C$16:$C$45,MATCH(D130,Settings!$B$16:$B$45,0)),"Check category"))</f>
        <v>Marketing &amp; Advertising</v>
      </c>
      <c r="F130" s="76" t="n">
        <v>29</v>
      </c>
      <c r="G130" s="51" t="s">
        <v>335</v>
      </c>
      <c r="H130" s="51" t="s">
        <v>247</v>
      </c>
      <c r="I130" s="51"/>
      <c r="J130" s="51"/>
    </row>
    <row r="131" customFormat="false" ht="15" hidden="false" customHeight="false" outlineLevel="0" collapsed="false">
      <c r="A131" s="65" t="n">
        <v>46188</v>
      </c>
      <c r="B131" s="51" t="s">
        <v>364</v>
      </c>
      <c r="C131" s="51" t="s">
        <v>365</v>
      </c>
      <c r="D131" s="51" t="s">
        <v>108</v>
      </c>
      <c r="E131" s="60" t="str">
        <f aca="false">IF(D131="","",IFERROR(INDEX(Settings!$C$16:$C$45,MATCH(D131,Settings!$B$16:$B$45,0)),"Check category"))</f>
        <v>Owner Pay &amp; Taxes</v>
      </c>
      <c r="F131" s="76" t="n">
        <v>4500</v>
      </c>
      <c r="G131" s="51" t="s">
        <v>113</v>
      </c>
      <c r="H131" s="51" t="s">
        <v>247</v>
      </c>
      <c r="I131" s="51"/>
      <c r="J131" s="51"/>
    </row>
    <row r="132" customFormat="false" ht="15" hidden="false" customHeight="false" outlineLevel="0" collapsed="false">
      <c r="A132" s="65" t="n">
        <v>46188</v>
      </c>
      <c r="B132" s="51" t="s">
        <v>393</v>
      </c>
      <c r="C132" s="51" t="s">
        <v>394</v>
      </c>
      <c r="D132" s="51" t="s">
        <v>118</v>
      </c>
      <c r="E132" s="60" t="str">
        <f aca="false">IF(D132="","",IFERROR(INDEX(Settings!$C$16:$C$45,MATCH(D132,Settings!$B$16:$B$45,0)),"Check category"))</f>
        <v>Owner Pay &amp; Taxes</v>
      </c>
      <c r="F132" s="76" t="n">
        <v>4500</v>
      </c>
      <c r="G132" s="51" t="s">
        <v>113</v>
      </c>
      <c r="H132" s="51" t="s">
        <v>247</v>
      </c>
      <c r="I132" s="51"/>
      <c r="J132" s="51"/>
    </row>
    <row r="133" customFormat="false" ht="15" hidden="false" customHeight="false" outlineLevel="0" collapsed="false">
      <c r="A133" s="65" t="n">
        <v>46189</v>
      </c>
      <c r="B133" s="51" t="s">
        <v>366</v>
      </c>
      <c r="C133" s="51" t="s">
        <v>367</v>
      </c>
      <c r="D133" s="51" t="s">
        <v>176</v>
      </c>
      <c r="E133" s="60" t="str">
        <f aca="false">IF(D133="","",IFERROR(INDEX(Settings!$C$16:$C$45,MATCH(D133,Settings!$B$16:$B$45,0)),"Check category"))</f>
        <v>Contractors &amp; Vendors</v>
      </c>
      <c r="F133" s="76" t="n">
        <v>250</v>
      </c>
      <c r="G133" s="51" t="s">
        <v>144</v>
      </c>
      <c r="H133" s="51" t="s">
        <v>247</v>
      </c>
      <c r="I133" s="51"/>
      <c r="J133" s="51"/>
    </row>
    <row r="134" customFormat="false" ht="15" hidden="false" customHeight="false" outlineLevel="0" collapsed="false">
      <c r="A134" s="65" t="n">
        <v>46191</v>
      </c>
      <c r="B134" s="51" t="s">
        <v>387</v>
      </c>
      <c r="C134" s="51" t="s">
        <v>369</v>
      </c>
      <c r="D134" s="51" t="s">
        <v>166</v>
      </c>
      <c r="E134" s="60" t="str">
        <f aca="false">IF(D134="","",IFERROR(INDEX(Settings!$C$16:$C$45,MATCH(D134,Settings!$B$16:$B$45,0)),"Check category"))</f>
        <v>Marketing &amp; Advertising</v>
      </c>
      <c r="F134" s="76" t="n">
        <v>600</v>
      </c>
      <c r="G134" s="51" t="s">
        <v>335</v>
      </c>
      <c r="H134" s="51" t="s">
        <v>247</v>
      </c>
      <c r="I134" s="51"/>
      <c r="J134" s="51"/>
    </row>
    <row r="135" customFormat="false" ht="15" hidden="false" customHeight="false" outlineLevel="0" collapsed="false">
      <c r="A135" s="65" t="n">
        <v>46193</v>
      </c>
      <c r="B135" s="51" t="s">
        <v>370</v>
      </c>
      <c r="C135" s="51" t="s">
        <v>180</v>
      </c>
      <c r="D135" s="51" t="s">
        <v>180</v>
      </c>
      <c r="E135" s="60" t="str">
        <f aca="false">IF(D135="","",IFERROR(INDEX(Settings!$C$16:$C$45,MATCH(D135,Settings!$B$16:$B$45,0)),"Check category"))</f>
        <v>Contractors &amp; Vendors</v>
      </c>
      <c r="F135" s="76" t="n">
        <v>350</v>
      </c>
      <c r="G135" s="51" t="s">
        <v>113</v>
      </c>
      <c r="H135" s="51" t="s">
        <v>247</v>
      </c>
      <c r="I135" s="51"/>
      <c r="J135" s="51"/>
    </row>
    <row r="136" customFormat="false" ht="15" hidden="false" customHeight="false" outlineLevel="0" collapsed="false">
      <c r="A136" s="65" t="n">
        <v>46195</v>
      </c>
      <c r="B136" s="51" t="s">
        <v>371</v>
      </c>
      <c r="C136" s="51" t="s">
        <v>372</v>
      </c>
      <c r="D136" s="51" t="s">
        <v>179</v>
      </c>
      <c r="E136" s="60" t="str">
        <f aca="false">IF(D136="","",IFERROR(INDEX(Settings!$C$16:$C$45,MATCH(D136,Settings!$B$16:$B$45,0)),"Check category"))</f>
        <v>Contractors &amp; Vendors</v>
      </c>
      <c r="F136" s="76" t="n">
        <v>100</v>
      </c>
      <c r="G136" s="51" t="s">
        <v>144</v>
      </c>
      <c r="H136" s="51" t="s">
        <v>247</v>
      </c>
      <c r="I136" s="51"/>
      <c r="J136" s="51"/>
    </row>
    <row r="137" customFormat="false" ht="15" hidden="false" customHeight="false" outlineLevel="0" collapsed="false">
      <c r="A137" s="65" t="n">
        <v>46198</v>
      </c>
      <c r="B137" s="51" t="s">
        <v>373</v>
      </c>
      <c r="C137" s="51" t="s">
        <v>374</v>
      </c>
      <c r="D137" s="51" t="s">
        <v>172</v>
      </c>
      <c r="E137" s="60" t="str">
        <f aca="false">IF(D137="","",IFERROR(INDEX(Settings!$C$16:$C$45,MATCH(D137,Settings!$B$16:$B$45,0)),"Check category"))</f>
        <v>Marketing &amp; Advertising</v>
      </c>
      <c r="F137" s="76" t="n">
        <v>25</v>
      </c>
      <c r="G137" s="51" t="s">
        <v>335</v>
      </c>
      <c r="H137" s="51" t="s">
        <v>247</v>
      </c>
      <c r="I137" s="51"/>
      <c r="J137" s="51"/>
    </row>
    <row r="138" customFormat="false" ht="15" hidden="false" customHeight="false" outlineLevel="0" collapsed="false">
      <c r="A138" s="65" t="n">
        <v>46200</v>
      </c>
      <c r="B138" s="51" t="s">
        <v>375</v>
      </c>
      <c r="C138" s="51" t="s">
        <v>400</v>
      </c>
      <c r="D138" s="51" t="s">
        <v>159</v>
      </c>
      <c r="E138" s="60" t="str">
        <f aca="false">IF(D138="","",IFERROR(INDEX(Settings!$C$16:$C$45,MATCH(D138,Settings!$B$16:$B$45,0)),"Check category"))</f>
        <v>Overhead</v>
      </c>
      <c r="F138" s="76" t="n">
        <v>97.15</v>
      </c>
      <c r="G138" s="51" t="s">
        <v>113</v>
      </c>
      <c r="H138" s="51" t="s">
        <v>247</v>
      </c>
      <c r="I138" s="51"/>
      <c r="J138" s="51"/>
    </row>
    <row r="139" customFormat="false" ht="15" hidden="false" customHeight="false" outlineLevel="0" collapsed="false">
      <c r="A139" s="65" t="n">
        <v>46201</v>
      </c>
      <c r="B139" s="51" t="s">
        <v>377</v>
      </c>
      <c r="C139" s="51" t="s">
        <v>378</v>
      </c>
      <c r="D139" s="51" t="s">
        <v>162</v>
      </c>
      <c r="E139" s="60" t="str">
        <f aca="false">IF(D139="","",IFERROR(INDEX(Settings!$C$16:$C$45,MATCH(D139,Settings!$B$16:$B$45,0)),"Check category"))</f>
        <v>Overhead</v>
      </c>
      <c r="F139" s="76" t="n">
        <v>37.12</v>
      </c>
      <c r="G139" s="51" t="s">
        <v>113</v>
      </c>
      <c r="H139" s="51" t="s">
        <v>247</v>
      </c>
      <c r="I139" s="51"/>
      <c r="J139" s="51"/>
    </row>
    <row r="140" customFormat="false" ht="15" hidden="false" customHeight="false" outlineLevel="0" collapsed="false">
      <c r="A140" s="65" t="n">
        <v>46204</v>
      </c>
      <c r="B140" s="51" t="s">
        <v>331</v>
      </c>
      <c r="C140" s="51" t="s">
        <v>332</v>
      </c>
      <c r="D140" s="51" t="s">
        <v>126</v>
      </c>
      <c r="E140" s="60" t="str">
        <f aca="false">IF(D140="","",IFERROR(INDEX(Settings!$C$16:$C$45,MATCH(D140,Settings!$B$16:$B$45,0)),"Check category"))</f>
        <v>Overhead</v>
      </c>
      <c r="F140" s="76" t="n">
        <v>550</v>
      </c>
      <c r="G140" s="51" t="s">
        <v>113</v>
      </c>
      <c r="H140" s="51" t="s">
        <v>247</v>
      </c>
      <c r="I140" s="51"/>
      <c r="J140" s="51"/>
    </row>
    <row r="141" customFormat="false" ht="15" hidden="false" customHeight="false" outlineLevel="0" collapsed="false">
      <c r="A141" s="65" t="n">
        <v>46205</v>
      </c>
      <c r="B141" s="51" t="s">
        <v>333</v>
      </c>
      <c r="C141" s="51" t="s">
        <v>334</v>
      </c>
      <c r="D141" s="51" t="s">
        <v>142</v>
      </c>
      <c r="E141" s="60" t="str">
        <f aca="false">IF(D141="","",IFERROR(INDEX(Settings!$C$16:$C$45,MATCH(D141,Settings!$B$16:$B$45,0)),"Check category"))</f>
        <v>Overhead</v>
      </c>
      <c r="F141" s="76" t="n">
        <v>38</v>
      </c>
      <c r="G141" s="51" t="s">
        <v>335</v>
      </c>
      <c r="H141" s="51" t="s">
        <v>247</v>
      </c>
      <c r="I141" s="51"/>
      <c r="J141" s="51"/>
    </row>
    <row r="142" customFormat="false" ht="15" hidden="false" customHeight="false" outlineLevel="0" collapsed="false">
      <c r="A142" s="65" t="n">
        <v>46205</v>
      </c>
      <c r="B142" s="51" t="s">
        <v>336</v>
      </c>
      <c r="C142" s="51" t="s">
        <v>337</v>
      </c>
      <c r="D142" s="51" t="s">
        <v>142</v>
      </c>
      <c r="E142" s="60" t="str">
        <f aca="false">IF(D142="","",IFERROR(INDEX(Settings!$C$16:$C$45,MATCH(D142,Settings!$B$16:$B$45,0)),"Check category"))</f>
        <v>Overhead</v>
      </c>
      <c r="F142" s="76" t="n">
        <v>22</v>
      </c>
      <c r="G142" s="51" t="s">
        <v>335</v>
      </c>
      <c r="H142" s="51" t="s">
        <v>247</v>
      </c>
      <c r="I142" s="51"/>
      <c r="J142" s="51"/>
    </row>
    <row r="143" customFormat="false" ht="15" hidden="false" customHeight="false" outlineLevel="0" collapsed="false">
      <c r="A143" s="65" t="n">
        <v>46206</v>
      </c>
      <c r="B143" s="51" t="s">
        <v>338</v>
      </c>
      <c r="C143" s="51" t="s">
        <v>339</v>
      </c>
      <c r="D143" s="51" t="s">
        <v>142</v>
      </c>
      <c r="E143" s="60" t="str">
        <f aca="false">IF(D143="","",IFERROR(INDEX(Settings!$C$16:$C$45,MATCH(D143,Settings!$B$16:$B$45,0)),"Check category"))</f>
        <v>Overhead</v>
      </c>
      <c r="F143" s="76" t="n">
        <v>15</v>
      </c>
      <c r="G143" s="51" t="s">
        <v>335</v>
      </c>
      <c r="H143" s="51" t="s">
        <v>247</v>
      </c>
      <c r="I143" s="51"/>
      <c r="J143" s="51"/>
    </row>
    <row r="144" customFormat="false" ht="15" hidden="false" customHeight="false" outlineLevel="0" collapsed="false">
      <c r="A144" s="65" t="n">
        <v>46207</v>
      </c>
      <c r="B144" s="51" t="s">
        <v>340</v>
      </c>
      <c r="C144" s="51" t="s">
        <v>341</v>
      </c>
      <c r="D144" s="51" t="s">
        <v>142</v>
      </c>
      <c r="E144" s="60" t="str">
        <f aca="false">IF(D144="","",IFERROR(INDEX(Settings!$C$16:$C$45,MATCH(D144,Settings!$B$16:$B$45,0)),"Check category"))</f>
        <v>Overhead</v>
      </c>
      <c r="F144" s="76" t="n">
        <v>20</v>
      </c>
      <c r="G144" s="51" t="s">
        <v>335</v>
      </c>
      <c r="H144" s="51" t="s">
        <v>247</v>
      </c>
      <c r="I144" s="51"/>
      <c r="J144" s="51"/>
    </row>
    <row r="145" customFormat="false" ht="15" hidden="false" customHeight="false" outlineLevel="0" collapsed="false">
      <c r="A145" s="65" t="n">
        <v>46207</v>
      </c>
      <c r="B145" s="51" t="s">
        <v>342</v>
      </c>
      <c r="C145" s="51" t="s">
        <v>343</v>
      </c>
      <c r="D145" s="51" t="s">
        <v>142</v>
      </c>
      <c r="E145" s="60" t="str">
        <f aca="false">IF(D145="","",IFERROR(INDEX(Settings!$C$16:$C$45,MATCH(D145,Settings!$B$16:$B$45,0)),"Check category"))</f>
        <v>Overhead</v>
      </c>
      <c r="F145" s="76" t="n">
        <v>12</v>
      </c>
      <c r="G145" s="51" t="s">
        <v>335</v>
      </c>
      <c r="H145" s="51" t="s">
        <v>247</v>
      </c>
      <c r="I145" s="51"/>
      <c r="J145" s="51"/>
    </row>
    <row r="146" customFormat="false" ht="15" hidden="false" customHeight="false" outlineLevel="0" collapsed="false">
      <c r="A146" s="65" t="n">
        <v>46208</v>
      </c>
      <c r="B146" s="51" t="s">
        <v>344</v>
      </c>
      <c r="C146" s="51" t="s">
        <v>345</v>
      </c>
      <c r="D146" s="51" t="s">
        <v>134</v>
      </c>
      <c r="E146" s="60" t="str">
        <f aca="false">IF(D146="","",IFERROR(INDEX(Settings!$C$16:$C$45,MATCH(D146,Settings!$B$16:$B$45,0)),"Check category"))</f>
        <v>Overhead</v>
      </c>
      <c r="F146" s="76" t="n">
        <v>72.2</v>
      </c>
      <c r="G146" s="51" t="s">
        <v>130</v>
      </c>
      <c r="H146" s="51" t="s">
        <v>247</v>
      </c>
      <c r="I146" s="51"/>
      <c r="J146" s="51"/>
    </row>
    <row r="147" customFormat="false" ht="15" hidden="false" customHeight="false" outlineLevel="0" collapsed="false">
      <c r="A147" s="65" t="n">
        <v>46209</v>
      </c>
      <c r="B147" s="51" t="s">
        <v>346</v>
      </c>
      <c r="C147" s="51" t="s">
        <v>347</v>
      </c>
      <c r="D147" s="51" t="s">
        <v>134</v>
      </c>
      <c r="E147" s="60" t="str">
        <f aca="false">IF(D147="","",IFERROR(INDEX(Settings!$C$16:$C$45,MATCH(D147,Settings!$B$16:$B$45,0)),"Check category"))</f>
        <v>Overhead</v>
      </c>
      <c r="F147" s="76" t="n">
        <v>65</v>
      </c>
      <c r="G147" s="51" t="s">
        <v>130</v>
      </c>
      <c r="H147" s="51" t="s">
        <v>247</v>
      </c>
      <c r="I147" s="51"/>
      <c r="J147" s="51"/>
    </row>
    <row r="148" customFormat="false" ht="15" hidden="false" customHeight="false" outlineLevel="0" collapsed="false">
      <c r="A148" s="65" t="n">
        <v>46211</v>
      </c>
      <c r="B148" s="51" t="s">
        <v>348</v>
      </c>
      <c r="C148" s="51" t="s">
        <v>349</v>
      </c>
      <c r="D148" s="51" t="s">
        <v>138</v>
      </c>
      <c r="E148" s="60" t="str">
        <f aca="false">IF(D148="","",IFERROR(INDEX(Settings!$C$16:$C$45,MATCH(D148,Settings!$B$16:$B$45,0)),"Check category"))</f>
        <v>Overhead</v>
      </c>
      <c r="F148" s="76" t="n">
        <v>85</v>
      </c>
      <c r="G148" s="51" t="s">
        <v>335</v>
      </c>
      <c r="H148" s="51" t="s">
        <v>247</v>
      </c>
      <c r="I148" s="51"/>
      <c r="J148" s="51"/>
    </row>
    <row r="149" customFormat="false" ht="15" hidden="false" customHeight="false" outlineLevel="0" collapsed="false">
      <c r="A149" s="65" t="n">
        <v>46213</v>
      </c>
      <c r="B149" s="51" t="s">
        <v>352</v>
      </c>
      <c r="C149" s="51" t="s">
        <v>353</v>
      </c>
      <c r="D149" s="51" t="s">
        <v>147</v>
      </c>
      <c r="E149" s="60" t="str">
        <f aca="false">IF(D149="","",IFERROR(INDEX(Settings!$C$16:$C$45,MATCH(D149,Settings!$B$16:$B$45,0)),"Check category"))</f>
        <v>Overhead</v>
      </c>
      <c r="F149" s="76" t="n">
        <v>145</v>
      </c>
      <c r="G149" s="51" t="s">
        <v>113</v>
      </c>
      <c r="H149" s="51" t="s">
        <v>247</v>
      </c>
      <c r="I149" s="51"/>
      <c r="J149" s="51"/>
    </row>
    <row r="150" customFormat="false" ht="15" hidden="false" customHeight="false" outlineLevel="0" collapsed="false">
      <c r="A150" s="65" t="n">
        <v>46214</v>
      </c>
      <c r="B150" s="51" t="s">
        <v>401</v>
      </c>
      <c r="C150" s="51" t="s">
        <v>402</v>
      </c>
      <c r="D150" s="51" t="s">
        <v>170</v>
      </c>
      <c r="E150" s="60" t="str">
        <f aca="false">IF(D150="","",IFERROR(INDEX(Settings!$C$16:$C$45,MATCH(D150,Settings!$B$16:$B$45,0)),"Check category"))</f>
        <v>Marketing &amp; Advertising</v>
      </c>
      <c r="F150" s="76" t="n">
        <v>180</v>
      </c>
      <c r="G150" s="51" t="s">
        <v>335</v>
      </c>
      <c r="H150" s="51" t="s">
        <v>250</v>
      </c>
      <c r="I150" s="51"/>
      <c r="J150" s="51"/>
    </row>
    <row r="151" customFormat="false" ht="15" hidden="false" customHeight="false" outlineLevel="0" collapsed="false">
      <c r="A151" s="65" t="n">
        <v>46215</v>
      </c>
      <c r="B151" s="51" t="s">
        <v>354</v>
      </c>
      <c r="C151" s="51" t="s">
        <v>355</v>
      </c>
      <c r="D151" s="51" t="s">
        <v>168</v>
      </c>
      <c r="E151" s="60" t="str">
        <f aca="false">IF(D151="","",IFERROR(INDEX(Settings!$C$16:$C$45,MATCH(D151,Settings!$B$16:$B$45,0)),"Check category"))</f>
        <v>Marketing &amp; Advertising</v>
      </c>
      <c r="F151" s="76" t="n">
        <v>39</v>
      </c>
      <c r="G151" s="51" t="s">
        <v>335</v>
      </c>
      <c r="H151" s="51" t="s">
        <v>247</v>
      </c>
      <c r="I151" s="51"/>
      <c r="J151" s="51"/>
    </row>
    <row r="152" customFormat="false" ht="15" hidden="false" customHeight="false" outlineLevel="0" collapsed="false">
      <c r="A152" s="65" t="n">
        <v>46217</v>
      </c>
      <c r="B152" s="51" t="s">
        <v>358</v>
      </c>
      <c r="C152" s="51" t="s">
        <v>359</v>
      </c>
      <c r="D152" s="51" t="s">
        <v>156</v>
      </c>
      <c r="E152" s="60" t="str">
        <f aca="false">IF(D152="","",IFERROR(INDEX(Settings!$C$16:$C$45,MATCH(D152,Settings!$B$16:$B$45,0)),"Check category"))</f>
        <v>Overhead</v>
      </c>
      <c r="F152" s="76" t="n">
        <v>107.8</v>
      </c>
      <c r="G152" s="51" t="s">
        <v>335</v>
      </c>
      <c r="H152" s="51" t="s">
        <v>247</v>
      </c>
      <c r="I152" s="51"/>
      <c r="J152" s="51"/>
    </row>
    <row r="153" customFormat="false" ht="15" hidden="false" customHeight="false" outlineLevel="0" collapsed="false">
      <c r="A153" s="65" t="n">
        <v>46218</v>
      </c>
      <c r="B153" s="51" t="s">
        <v>362</v>
      </c>
      <c r="C153" s="51" t="s">
        <v>363</v>
      </c>
      <c r="D153" s="51" t="s">
        <v>174</v>
      </c>
      <c r="E153" s="60" t="str">
        <f aca="false">IF(D153="","",IFERROR(INDEX(Settings!$C$16:$C$45,MATCH(D153,Settings!$B$16:$B$45,0)),"Check category"))</f>
        <v>Marketing &amp; Advertising</v>
      </c>
      <c r="F153" s="76" t="n">
        <v>29</v>
      </c>
      <c r="G153" s="51" t="s">
        <v>335</v>
      </c>
      <c r="H153" s="51" t="s">
        <v>247</v>
      </c>
      <c r="I153" s="51"/>
      <c r="J153" s="51"/>
    </row>
    <row r="154" customFormat="false" ht="15" hidden="false" customHeight="false" outlineLevel="0" collapsed="false">
      <c r="A154" s="65" t="n">
        <v>46218</v>
      </c>
      <c r="B154" s="51" t="s">
        <v>364</v>
      </c>
      <c r="C154" s="51" t="s">
        <v>365</v>
      </c>
      <c r="D154" s="51" t="s">
        <v>108</v>
      </c>
      <c r="E154" s="60" t="str">
        <f aca="false">IF(D154="","",IFERROR(INDEX(Settings!$C$16:$C$45,MATCH(D154,Settings!$B$16:$B$45,0)),"Check category"))</f>
        <v>Owner Pay &amp; Taxes</v>
      </c>
      <c r="F154" s="76" t="n">
        <v>4500</v>
      </c>
      <c r="G154" s="51" t="s">
        <v>113</v>
      </c>
      <c r="H154" s="51" t="s">
        <v>247</v>
      </c>
      <c r="I154" s="51"/>
      <c r="J154" s="51"/>
    </row>
    <row r="155" customFormat="false" ht="15" hidden="false" customHeight="false" outlineLevel="0" collapsed="false">
      <c r="A155" s="65" t="n">
        <v>46221</v>
      </c>
      <c r="B155" s="51" t="s">
        <v>368</v>
      </c>
      <c r="C155" s="51" t="s">
        <v>369</v>
      </c>
      <c r="D155" s="51" t="s">
        <v>166</v>
      </c>
      <c r="E155" s="60" t="str">
        <f aca="false">IF(D155="","",IFERROR(INDEX(Settings!$C$16:$C$45,MATCH(D155,Settings!$B$16:$B$45,0)),"Check category"))</f>
        <v>Marketing &amp; Advertising</v>
      </c>
      <c r="F155" s="76" t="n">
        <v>450</v>
      </c>
      <c r="G155" s="51" t="s">
        <v>335</v>
      </c>
      <c r="H155" s="51" t="s">
        <v>247</v>
      </c>
      <c r="I155" s="51"/>
      <c r="J155" s="51"/>
    </row>
    <row r="156" customFormat="false" ht="15" hidden="false" customHeight="false" outlineLevel="0" collapsed="false">
      <c r="A156" s="65" t="n">
        <v>46223</v>
      </c>
      <c r="B156" s="51" t="s">
        <v>370</v>
      </c>
      <c r="C156" s="51" t="s">
        <v>180</v>
      </c>
      <c r="D156" s="51" t="s">
        <v>180</v>
      </c>
      <c r="E156" s="60" t="str">
        <f aca="false">IF(D156="","",IFERROR(INDEX(Settings!$C$16:$C$45,MATCH(D156,Settings!$B$16:$B$45,0)),"Check category"))</f>
        <v>Contractors &amp; Vendors</v>
      </c>
      <c r="F156" s="76" t="n">
        <v>350</v>
      </c>
      <c r="G156" s="51" t="s">
        <v>113</v>
      </c>
      <c r="H156" s="51" t="s">
        <v>247</v>
      </c>
      <c r="I156" s="51"/>
      <c r="J156" s="51"/>
    </row>
    <row r="157" customFormat="false" ht="15" hidden="false" customHeight="false" outlineLevel="0" collapsed="false">
      <c r="A157" s="65" t="n">
        <v>46225</v>
      </c>
      <c r="B157" s="51" t="s">
        <v>371</v>
      </c>
      <c r="C157" s="51" t="s">
        <v>372</v>
      </c>
      <c r="D157" s="51" t="s">
        <v>179</v>
      </c>
      <c r="E157" s="60" t="str">
        <f aca="false">IF(D157="","",IFERROR(INDEX(Settings!$C$16:$C$45,MATCH(D157,Settings!$B$16:$B$45,0)),"Check category"))</f>
        <v>Contractors &amp; Vendors</v>
      </c>
      <c r="F157" s="76" t="n">
        <v>100</v>
      </c>
      <c r="G157" s="51" t="s">
        <v>144</v>
      </c>
      <c r="H157" s="51" t="s">
        <v>247</v>
      </c>
      <c r="I157" s="51"/>
      <c r="J157" s="51"/>
    </row>
    <row r="158" customFormat="false" ht="15" hidden="false" customHeight="false" outlineLevel="0" collapsed="false">
      <c r="A158" s="65" t="n">
        <v>46228</v>
      </c>
      <c r="B158" s="51" t="s">
        <v>373</v>
      </c>
      <c r="C158" s="51" t="s">
        <v>374</v>
      </c>
      <c r="D158" s="51" t="s">
        <v>172</v>
      </c>
      <c r="E158" s="60" t="str">
        <f aca="false">IF(D158="","",IFERROR(INDEX(Settings!$C$16:$C$45,MATCH(D158,Settings!$B$16:$B$45,0)),"Check category"))</f>
        <v>Marketing &amp; Advertising</v>
      </c>
      <c r="F158" s="76" t="n">
        <v>25</v>
      </c>
      <c r="G158" s="51" t="s">
        <v>335</v>
      </c>
      <c r="H158" s="51" t="s">
        <v>247</v>
      </c>
      <c r="I158" s="51"/>
      <c r="J158" s="51"/>
    </row>
    <row r="159" customFormat="false" ht="15" hidden="false" customHeight="false" outlineLevel="0" collapsed="false">
      <c r="A159" s="65" t="n">
        <v>46230</v>
      </c>
      <c r="B159" s="51" t="s">
        <v>375</v>
      </c>
      <c r="C159" s="51" t="s">
        <v>403</v>
      </c>
      <c r="D159" s="51" t="s">
        <v>159</v>
      </c>
      <c r="E159" s="60" t="str">
        <f aca="false">IF(D159="","",IFERROR(INDEX(Settings!$C$16:$C$45,MATCH(D159,Settings!$B$16:$B$45,0)),"Check category"))</f>
        <v>Overhead</v>
      </c>
      <c r="F159" s="76" t="n">
        <v>81.2</v>
      </c>
      <c r="G159" s="51" t="s">
        <v>113</v>
      </c>
      <c r="H159" s="51" t="s">
        <v>247</v>
      </c>
      <c r="I159" s="51"/>
      <c r="J159" s="51"/>
    </row>
    <row r="160" customFormat="false" ht="15" hidden="false" customHeight="false" outlineLevel="0" collapsed="false">
      <c r="A160" s="65" t="n">
        <v>46231</v>
      </c>
      <c r="B160" s="51" t="s">
        <v>377</v>
      </c>
      <c r="C160" s="51" t="s">
        <v>378</v>
      </c>
      <c r="D160" s="51" t="s">
        <v>162</v>
      </c>
      <c r="E160" s="60" t="str">
        <f aca="false">IF(D160="","",IFERROR(INDEX(Settings!$C$16:$C$45,MATCH(D160,Settings!$B$16:$B$45,0)),"Check category"))</f>
        <v>Overhead</v>
      </c>
      <c r="F160" s="76" t="n">
        <v>41.34</v>
      </c>
      <c r="G160" s="51" t="s">
        <v>113</v>
      </c>
      <c r="H160" s="51" t="s">
        <v>247</v>
      </c>
      <c r="I160" s="51"/>
      <c r="J160" s="51"/>
    </row>
    <row r="161" customFormat="false" ht="15" hidden="false" customHeight="false" outlineLevel="0" collapsed="false">
      <c r="A161" s="65" t="n">
        <v>46235</v>
      </c>
      <c r="B161" s="51" t="s">
        <v>331</v>
      </c>
      <c r="C161" s="51" t="s">
        <v>332</v>
      </c>
      <c r="D161" s="51" t="s">
        <v>126</v>
      </c>
      <c r="E161" s="60" t="str">
        <f aca="false">IF(D161="","",IFERROR(INDEX(Settings!$C$16:$C$45,MATCH(D161,Settings!$B$16:$B$45,0)),"Check category"))</f>
        <v>Overhead</v>
      </c>
      <c r="F161" s="76" t="n">
        <v>550</v>
      </c>
      <c r="G161" s="51" t="s">
        <v>113</v>
      </c>
      <c r="H161" s="51" t="s">
        <v>247</v>
      </c>
      <c r="I161" s="51"/>
      <c r="J161" s="51"/>
    </row>
    <row r="162" customFormat="false" ht="15" hidden="false" customHeight="false" outlineLevel="0" collapsed="false">
      <c r="A162" s="65" t="n">
        <v>46236</v>
      </c>
      <c r="B162" s="51" t="s">
        <v>333</v>
      </c>
      <c r="C162" s="51" t="s">
        <v>334</v>
      </c>
      <c r="D162" s="51" t="s">
        <v>142</v>
      </c>
      <c r="E162" s="60" t="str">
        <f aca="false">IF(D162="","",IFERROR(INDEX(Settings!$C$16:$C$45,MATCH(D162,Settings!$B$16:$B$45,0)),"Check category"))</f>
        <v>Overhead</v>
      </c>
      <c r="F162" s="76" t="n">
        <v>38</v>
      </c>
      <c r="G162" s="51" t="s">
        <v>335</v>
      </c>
      <c r="H162" s="51" t="s">
        <v>247</v>
      </c>
      <c r="I162" s="51"/>
      <c r="J162" s="51"/>
    </row>
    <row r="163" customFormat="false" ht="15" hidden="false" customHeight="false" outlineLevel="0" collapsed="false">
      <c r="A163" s="65" t="n">
        <v>46236</v>
      </c>
      <c r="B163" s="51" t="s">
        <v>336</v>
      </c>
      <c r="C163" s="51" t="s">
        <v>337</v>
      </c>
      <c r="D163" s="51" t="s">
        <v>142</v>
      </c>
      <c r="E163" s="60" t="str">
        <f aca="false">IF(D163="","",IFERROR(INDEX(Settings!$C$16:$C$45,MATCH(D163,Settings!$B$16:$B$45,0)),"Check category"))</f>
        <v>Overhead</v>
      </c>
      <c r="F163" s="76" t="n">
        <v>22</v>
      </c>
      <c r="G163" s="51" t="s">
        <v>335</v>
      </c>
      <c r="H163" s="51" t="s">
        <v>247</v>
      </c>
      <c r="I163" s="51"/>
      <c r="J163" s="51"/>
    </row>
    <row r="164" customFormat="false" ht="15" hidden="false" customHeight="false" outlineLevel="0" collapsed="false">
      <c r="A164" s="65" t="n">
        <v>46237</v>
      </c>
      <c r="B164" s="51" t="s">
        <v>338</v>
      </c>
      <c r="C164" s="51" t="s">
        <v>339</v>
      </c>
      <c r="D164" s="51" t="s">
        <v>142</v>
      </c>
      <c r="E164" s="60" t="str">
        <f aca="false">IF(D164="","",IFERROR(INDEX(Settings!$C$16:$C$45,MATCH(D164,Settings!$B$16:$B$45,0)),"Check category"))</f>
        <v>Overhead</v>
      </c>
      <c r="F164" s="76" t="n">
        <v>15</v>
      </c>
      <c r="G164" s="51" t="s">
        <v>335</v>
      </c>
      <c r="H164" s="51" t="s">
        <v>247</v>
      </c>
      <c r="I164" s="51"/>
      <c r="J164" s="51"/>
    </row>
    <row r="165" customFormat="false" ht="15" hidden="false" customHeight="false" outlineLevel="0" collapsed="false">
      <c r="A165" s="65" t="n">
        <v>46238</v>
      </c>
      <c r="B165" s="51" t="s">
        <v>340</v>
      </c>
      <c r="C165" s="51" t="s">
        <v>341</v>
      </c>
      <c r="D165" s="51" t="s">
        <v>142</v>
      </c>
      <c r="E165" s="60" t="str">
        <f aca="false">IF(D165="","",IFERROR(INDEX(Settings!$C$16:$C$45,MATCH(D165,Settings!$B$16:$B$45,0)),"Check category"))</f>
        <v>Overhead</v>
      </c>
      <c r="F165" s="76" t="n">
        <v>20</v>
      </c>
      <c r="G165" s="51" t="s">
        <v>335</v>
      </c>
      <c r="H165" s="51" t="s">
        <v>247</v>
      </c>
      <c r="I165" s="51"/>
      <c r="J165" s="51"/>
    </row>
    <row r="166" customFormat="false" ht="15" hidden="false" customHeight="false" outlineLevel="0" collapsed="false">
      <c r="A166" s="65" t="n">
        <v>46238</v>
      </c>
      <c r="B166" s="51" t="s">
        <v>342</v>
      </c>
      <c r="C166" s="51" t="s">
        <v>343</v>
      </c>
      <c r="D166" s="51" t="s">
        <v>142</v>
      </c>
      <c r="E166" s="60" t="str">
        <f aca="false">IF(D166="","",IFERROR(INDEX(Settings!$C$16:$C$45,MATCH(D166,Settings!$B$16:$B$45,0)),"Check category"))</f>
        <v>Overhead</v>
      </c>
      <c r="F166" s="76" t="n">
        <v>12</v>
      </c>
      <c r="G166" s="51" t="s">
        <v>335</v>
      </c>
      <c r="H166" s="51" t="s">
        <v>247</v>
      </c>
      <c r="I166" s="51"/>
      <c r="J166" s="51"/>
    </row>
    <row r="167" customFormat="false" ht="15" hidden="false" customHeight="false" outlineLevel="0" collapsed="false">
      <c r="A167" s="65" t="n">
        <v>46239</v>
      </c>
      <c r="B167" s="51" t="s">
        <v>344</v>
      </c>
      <c r="C167" s="51" t="s">
        <v>345</v>
      </c>
      <c r="D167" s="51" t="s">
        <v>134</v>
      </c>
      <c r="E167" s="60" t="str">
        <f aca="false">IF(D167="","",IFERROR(INDEX(Settings!$C$16:$C$45,MATCH(D167,Settings!$B$16:$B$45,0)),"Check category"))</f>
        <v>Overhead</v>
      </c>
      <c r="F167" s="76" t="n">
        <v>58.46</v>
      </c>
      <c r="G167" s="51" t="s">
        <v>130</v>
      </c>
      <c r="H167" s="51" t="s">
        <v>247</v>
      </c>
      <c r="I167" s="51"/>
      <c r="J167" s="51"/>
    </row>
    <row r="168" customFormat="false" ht="15" hidden="false" customHeight="false" outlineLevel="0" collapsed="false">
      <c r="A168" s="65" t="n">
        <v>46240</v>
      </c>
      <c r="B168" s="51" t="s">
        <v>346</v>
      </c>
      <c r="C168" s="51" t="s">
        <v>347</v>
      </c>
      <c r="D168" s="51" t="s">
        <v>134</v>
      </c>
      <c r="E168" s="60" t="str">
        <f aca="false">IF(D168="","",IFERROR(INDEX(Settings!$C$16:$C$45,MATCH(D168,Settings!$B$16:$B$45,0)),"Check category"))</f>
        <v>Overhead</v>
      </c>
      <c r="F168" s="76" t="n">
        <v>65</v>
      </c>
      <c r="G168" s="51" t="s">
        <v>130</v>
      </c>
      <c r="H168" s="51" t="s">
        <v>247</v>
      </c>
      <c r="I168" s="51"/>
      <c r="J168" s="51"/>
    </row>
    <row r="169" customFormat="false" ht="15" hidden="false" customHeight="false" outlineLevel="0" collapsed="false">
      <c r="A169" s="65" t="n">
        <v>46242</v>
      </c>
      <c r="B169" s="51" t="s">
        <v>348</v>
      </c>
      <c r="C169" s="51" t="s">
        <v>349</v>
      </c>
      <c r="D169" s="51" t="s">
        <v>138</v>
      </c>
      <c r="E169" s="60" t="str">
        <f aca="false">IF(D169="","",IFERROR(INDEX(Settings!$C$16:$C$45,MATCH(D169,Settings!$B$16:$B$45,0)),"Check category"))</f>
        <v>Overhead</v>
      </c>
      <c r="F169" s="76" t="n">
        <v>85</v>
      </c>
      <c r="G169" s="51" t="s">
        <v>335</v>
      </c>
      <c r="H169" s="51" t="s">
        <v>247</v>
      </c>
      <c r="I169" s="51"/>
      <c r="J169" s="51"/>
    </row>
    <row r="170" customFormat="false" ht="15" hidden="false" customHeight="false" outlineLevel="0" collapsed="false">
      <c r="A170" s="65" t="n">
        <v>46243</v>
      </c>
      <c r="B170" s="51" t="s">
        <v>379</v>
      </c>
      <c r="C170" s="51" t="s">
        <v>380</v>
      </c>
      <c r="D170" s="51" t="s">
        <v>154</v>
      </c>
      <c r="E170" s="60" t="str">
        <f aca="false">IF(D170="","",IFERROR(INDEX(Settings!$C$16:$C$45,MATCH(D170,Settings!$B$16:$B$45,0)),"Check category"))</f>
        <v>Overhead</v>
      </c>
      <c r="F170" s="76" t="n">
        <v>83.94</v>
      </c>
      <c r="G170" s="51" t="s">
        <v>335</v>
      </c>
      <c r="H170" s="51" t="s">
        <v>247</v>
      </c>
      <c r="I170" s="51"/>
      <c r="J170" s="51"/>
    </row>
    <row r="171" customFormat="false" ht="15" hidden="false" customHeight="false" outlineLevel="0" collapsed="false">
      <c r="A171" s="65" t="n">
        <v>46244</v>
      </c>
      <c r="B171" s="51" t="s">
        <v>352</v>
      </c>
      <c r="C171" s="51" t="s">
        <v>353</v>
      </c>
      <c r="D171" s="51" t="s">
        <v>147</v>
      </c>
      <c r="E171" s="60" t="str">
        <f aca="false">IF(D171="","",IFERROR(INDEX(Settings!$C$16:$C$45,MATCH(D171,Settings!$B$16:$B$45,0)),"Check category"))</f>
        <v>Overhead</v>
      </c>
      <c r="F171" s="76" t="n">
        <v>145</v>
      </c>
      <c r="G171" s="51" t="s">
        <v>113</v>
      </c>
      <c r="H171" s="51" t="s">
        <v>247</v>
      </c>
      <c r="I171" s="51"/>
      <c r="J171" s="51"/>
    </row>
    <row r="172" customFormat="false" ht="15" hidden="false" customHeight="false" outlineLevel="0" collapsed="false">
      <c r="A172" s="65" t="n">
        <v>46246</v>
      </c>
      <c r="B172" s="51" t="s">
        <v>354</v>
      </c>
      <c r="C172" s="51" t="s">
        <v>355</v>
      </c>
      <c r="D172" s="51" t="s">
        <v>168</v>
      </c>
      <c r="E172" s="60" t="str">
        <f aca="false">IF(D172="","",IFERROR(INDEX(Settings!$C$16:$C$45,MATCH(D172,Settings!$B$16:$B$45,0)),"Check category"))</f>
        <v>Marketing &amp; Advertising</v>
      </c>
      <c r="F172" s="76" t="n">
        <v>39</v>
      </c>
      <c r="G172" s="51" t="s">
        <v>335</v>
      </c>
      <c r="H172" s="51" t="s">
        <v>247</v>
      </c>
      <c r="I172" s="51"/>
      <c r="J172" s="51"/>
    </row>
    <row r="173" customFormat="false" ht="15" hidden="false" customHeight="false" outlineLevel="0" collapsed="false">
      <c r="A173" s="65" t="n">
        <v>46249</v>
      </c>
      <c r="B173" s="51" t="s">
        <v>362</v>
      </c>
      <c r="C173" s="51" t="s">
        <v>363</v>
      </c>
      <c r="D173" s="51" t="s">
        <v>174</v>
      </c>
      <c r="E173" s="60" t="str">
        <f aca="false">IF(D173="","",IFERROR(INDEX(Settings!$C$16:$C$45,MATCH(D173,Settings!$B$16:$B$45,0)),"Check category"))</f>
        <v>Marketing &amp; Advertising</v>
      </c>
      <c r="F173" s="76" t="n">
        <v>29</v>
      </c>
      <c r="G173" s="51" t="s">
        <v>335</v>
      </c>
      <c r="H173" s="51" t="s">
        <v>247</v>
      </c>
      <c r="I173" s="51"/>
      <c r="J173" s="51"/>
    </row>
    <row r="174" customFormat="false" ht="15" hidden="false" customHeight="false" outlineLevel="0" collapsed="false">
      <c r="A174" s="65" t="n">
        <v>46249</v>
      </c>
      <c r="B174" s="51" t="s">
        <v>364</v>
      </c>
      <c r="C174" s="51" t="s">
        <v>365</v>
      </c>
      <c r="D174" s="51" t="s">
        <v>108</v>
      </c>
      <c r="E174" s="60" t="str">
        <f aca="false">IF(D174="","",IFERROR(INDEX(Settings!$C$16:$C$45,MATCH(D174,Settings!$B$16:$B$45,0)),"Check category"))</f>
        <v>Owner Pay &amp; Taxes</v>
      </c>
      <c r="F174" s="76" t="n">
        <v>4500</v>
      </c>
      <c r="G174" s="51" t="s">
        <v>113</v>
      </c>
      <c r="H174" s="51" t="s">
        <v>247</v>
      </c>
      <c r="I174" s="51"/>
      <c r="J174" s="51"/>
    </row>
    <row r="175" customFormat="false" ht="15" hidden="false" customHeight="false" outlineLevel="0" collapsed="false">
      <c r="A175" s="65" t="n">
        <v>46250</v>
      </c>
      <c r="B175" s="51" t="s">
        <v>366</v>
      </c>
      <c r="C175" s="51" t="s">
        <v>367</v>
      </c>
      <c r="D175" s="51" t="s">
        <v>176</v>
      </c>
      <c r="E175" s="60" t="str">
        <f aca="false">IF(D175="","",IFERROR(INDEX(Settings!$C$16:$C$45,MATCH(D175,Settings!$B$16:$B$45,0)),"Check category"))</f>
        <v>Contractors &amp; Vendors</v>
      </c>
      <c r="F175" s="76" t="n">
        <v>250</v>
      </c>
      <c r="G175" s="51" t="s">
        <v>144</v>
      </c>
      <c r="H175" s="51" t="s">
        <v>247</v>
      </c>
      <c r="I175" s="51"/>
      <c r="J175" s="51"/>
    </row>
    <row r="176" customFormat="false" ht="15" hidden="false" customHeight="false" outlineLevel="0" collapsed="false">
      <c r="A176" s="65" t="n">
        <v>46252</v>
      </c>
      <c r="B176" s="51" t="s">
        <v>383</v>
      </c>
      <c r="C176" s="51" t="s">
        <v>369</v>
      </c>
      <c r="D176" s="51" t="s">
        <v>166</v>
      </c>
      <c r="E176" s="60" t="str">
        <f aca="false">IF(D176="","",IFERROR(INDEX(Settings!$C$16:$C$45,MATCH(D176,Settings!$B$16:$B$45,0)),"Check category"))</f>
        <v>Marketing &amp; Advertising</v>
      </c>
      <c r="F176" s="76" t="n">
        <v>450</v>
      </c>
      <c r="G176" s="51" t="s">
        <v>335</v>
      </c>
      <c r="H176" s="51" t="s">
        <v>247</v>
      </c>
      <c r="I176" s="51"/>
      <c r="J176" s="51"/>
    </row>
    <row r="177" customFormat="false" ht="15" hidden="false" customHeight="false" outlineLevel="0" collapsed="false">
      <c r="A177" s="65" t="n">
        <v>46254</v>
      </c>
      <c r="B177" s="51" t="s">
        <v>370</v>
      </c>
      <c r="C177" s="51" t="s">
        <v>180</v>
      </c>
      <c r="D177" s="51" t="s">
        <v>180</v>
      </c>
      <c r="E177" s="60" t="str">
        <f aca="false">IF(D177="","",IFERROR(INDEX(Settings!$C$16:$C$45,MATCH(D177,Settings!$B$16:$B$45,0)),"Check category"))</f>
        <v>Contractors &amp; Vendors</v>
      </c>
      <c r="F177" s="76" t="n">
        <v>350</v>
      </c>
      <c r="G177" s="51" t="s">
        <v>113</v>
      </c>
      <c r="H177" s="51" t="s">
        <v>247</v>
      </c>
      <c r="I177" s="51"/>
      <c r="J177" s="51"/>
    </row>
    <row r="178" customFormat="false" ht="15" hidden="false" customHeight="false" outlineLevel="0" collapsed="false">
      <c r="A178" s="65" t="n">
        <v>46255</v>
      </c>
      <c r="B178" s="51" t="s">
        <v>390</v>
      </c>
      <c r="C178" s="51" t="s">
        <v>404</v>
      </c>
      <c r="D178" s="51" t="s">
        <v>178</v>
      </c>
      <c r="E178" s="60" t="str">
        <f aca="false">IF(D178="","",IFERROR(INDEX(Settings!$C$16:$C$45,MATCH(D178,Settings!$B$16:$B$45,0)),"Check category"))</f>
        <v>Contractors &amp; Vendors</v>
      </c>
      <c r="F178" s="76" t="n">
        <v>500</v>
      </c>
      <c r="G178" s="51" t="s">
        <v>113</v>
      </c>
      <c r="H178" s="51" t="s">
        <v>247</v>
      </c>
      <c r="I178" s="51" t="s">
        <v>225</v>
      </c>
      <c r="J178" s="51"/>
    </row>
    <row r="179" customFormat="false" ht="15" hidden="false" customHeight="false" outlineLevel="0" collapsed="false">
      <c r="A179" s="65" t="n">
        <v>46256</v>
      </c>
      <c r="B179" s="51" t="s">
        <v>371</v>
      </c>
      <c r="C179" s="51" t="s">
        <v>372</v>
      </c>
      <c r="D179" s="51" t="s">
        <v>179</v>
      </c>
      <c r="E179" s="60" t="str">
        <f aca="false">IF(D179="","",IFERROR(INDEX(Settings!$C$16:$C$45,MATCH(D179,Settings!$B$16:$B$45,0)),"Check category"))</f>
        <v>Contractors &amp; Vendors</v>
      </c>
      <c r="F179" s="76" t="n">
        <v>100</v>
      </c>
      <c r="G179" s="51" t="s">
        <v>144</v>
      </c>
      <c r="H179" s="51" t="s">
        <v>247</v>
      </c>
      <c r="I179" s="51"/>
      <c r="J179" s="51"/>
    </row>
    <row r="180" customFormat="false" ht="15" hidden="false" customHeight="false" outlineLevel="0" collapsed="false">
      <c r="A180" s="65" t="n">
        <v>46259</v>
      </c>
      <c r="B180" s="51" t="s">
        <v>373</v>
      </c>
      <c r="C180" s="51" t="s">
        <v>374</v>
      </c>
      <c r="D180" s="51" t="s">
        <v>172</v>
      </c>
      <c r="E180" s="60" t="str">
        <f aca="false">IF(D180="","",IFERROR(INDEX(Settings!$C$16:$C$45,MATCH(D180,Settings!$B$16:$B$45,0)),"Check category"))</f>
        <v>Marketing &amp; Advertising</v>
      </c>
      <c r="F180" s="76" t="n">
        <v>25</v>
      </c>
      <c r="G180" s="51" t="s">
        <v>335</v>
      </c>
      <c r="H180" s="51" t="s">
        <v>247</v>
      </c>
      <c r="I180" s="51"/>
      <c r="J180" s="51"/>
    </row>
    <row r="181" customFormat="false" ht="15" hidden="false" customHeight="false" outlineLevel="0" collapsed="false">
      <c r="A181" s="65" t="n">
        <v>46261</v>
      </c>
      <c r="B181" s="51" t="s">
        <v>375</v>
      </c>
      <c r="C181" s="51" t="s">
        <v>405</v>
      </c>
      <c r="D181" s="51" t="s">
        <v>159</v>
      </c>
      <c r="E181" s="60" t="str">
        <f aca="false">IF(D181="","",IFERROR(INDEX(Settings!$C$16:$C$45,MATCH(D181,Settings!$B$16:$B$45,0)),"Check category"))</f>
        <v>Overhead</v>
      </c>
      <c r="F181" s="76" t="n">
        <v>73.22</v>
      </c>
      <c r="G181" s="51" t="s">
        <v>113</v>
      </c>
      <c r="H181" s="51" t="s">
        <v>247</v>
      </c>
      <c r="I181" s="51"/>
      <c r="J181" s="51"/>
    </row>
    <row r="182" customFormat="false" ht="15" hidden="false" customHeight="false" outlineLevel="0" collapsed="false">
      <c r="A182" s="65" t="n">
        <v>46262</v>
      </c>
      <c r="B182" s="51" t="s">
        <v>377</v>
      </c>
      <c r="C182" s="51" t="s">
        <v>378</v>
      </c>
      <c r="D182" s="51" t="s">
        <v>162</v>
      </c>
      <c r="E182" s="60" t="str">
        <f aca="false">IF(D182="","",IFERROR(INDEX(Settings!$C$16:$C$45,MATCH(D182,Settings!$B$16:$B$45,0)),"Check category"))</f>
        <v>Overhead</v>
      </c>
      <c r="F182" s="76" t="n">
        <v>42.35</v>
      </c>
      <c r="G182" s="51" t="s">
        <v>113</v>
      </c>
      <c r="H182" s="51" t="s">
        <v>247</v>
      </c>
      <c r="I182" s="51"/>
      <c r="J182" s="51"/>
    </row>
    <row r="183" customFormat="false" ht="15" hidden="false" customHeight="false" outlineLevel="0" collapsed="false">
      <c r="A183" s="65" t="n">
        <v>46266</v>
      </c>
      <c r="B183" s="51" t="s">
        <v>331</v>
      </c>
      <c r="C183" s="51" t="s">
        <v>332</v>
      </c>
      <c r="D183" s="51" t="s">
        <v>126</v>
      </c>
      <c r="E183" s="60" t="str">
        <f aca="false">IF(D183="","",IFERROR(INDEX(Settings!$C$16:$C$45,MATCH(D183,Settings!$B$16:$B$45,0)),"Check category"))</f>
        <v>Overhead</v>
      </c>
      <c r="F183" s="76" t="n">
        <v>550</v>
      </c>
      <c r="G183" s="51" t="s">
        <v>113</v>
      </c>
      <c r="H183" s="51" t="s">
        <v>247</v>
      </c>
      <c r="I183" s="51"/>
      <c r="J183" s="51"/>
    </row>
    <row r="184" customFormat="false" ht="15" hidden="false" customHeight="false" outlineLevel="0" collapsed="false">
      <c r="A184" s="65" t="n">
        <v>46267</v>
      </c>
      <c r="B184" s="51" t="s">
        <v>333</v>
      </c>
      <c r="C184" s="51" t="s">
        <v>334</v>
      </c>
      <c r="D184" s="51" t="s">
        <v>142</v>
      </c>
      <c r="E184" s="60" t="str">
        <f aca="false">IF(D184="","",IFERROR(INDEX(Settings!$C$16:$C$45,MATCH(D184,Settings!$B$16:$B$45,0)),"Check category"))</f>
        <v>Overhead</v>
      </c>
      <c r="F184" s="76" t="n">
        <v>38</v>
      </c>
      <c r="G184" s="51" t="s">
        <v>335</v>
      </c>
      <c r="H184" s="51" t="s">
        <v>247</v>
      </c>
      <c r="I184" s="51"/>
      <c r="J184" s="51"/>
    </row>
    <row r="185" customFormat="false" ht="15" hidden="false" customHeight="false" outlineLevel="0" collapsed="false">
      <c r="A185" s="65" t="n">
        <v>46267</v>
      </c>
      <c r="B185" s="51" t="s">
        <v>336</v>
      </c>
      <c r="C185" s="51" t="s">
        <v>337</v>
      </c>
      <c r="D185" s="51" t="s">
        <v>142</v>
      </c>
      <c r="E185" s="60" t="str">
        <f aca="false">IF(D185="","",IFERROR(INDEX(Settings!$C$16:$C$45,MATCH(D185,Settings!$B$16:$B$45,0)),"Check category"))</f>
        <v>Overhead</v>
      </c>
      <c r="F185" s="76" t="n">
        <v>22</v>
      </c>
      <c r="G185" s="51" t="s">
        <v>335</v>
      </c>
      <c r="H185" s="51" t="s">
        <v>247</v>
      </c>
      <c r="I185" s="51"/>
      <c r="J185" s="51"/>
    </row>
    <row r="186" customFormat="false" ht="15" hidden="false" customHeight="false" outlineLevel="0" collapsed="false">
      <c r="A186" s="65" t="n">
        <v>46268</v>
      </c>
      <c r="B186" s="51" t="s">
        <v>338</v>
      </c>
      <c r="C186" s="51" t="s">
        <v>339</v>
      </c>
      <c r="D186" s="51" t="s">
        <v>142</v>
      </c>
      <c r="E186" s="60" t="str">
        <f aca="false">IF(D186="","",IFERROR(INDEX(Settings!$C$16:$C$45,MATCH(D186,Settings!$B$16:$B$45,0)),"Check category"))</f>
        <v>Overhead</v>
      </c>
      <c r="F186" s="76" t="n">
        <v>15</v>
      </c>
      <c r="G186" s="51" t="s">
        <v>335</v>
      </c>
      <c r="H186" s="51" t="s">
        <v>247</v>
      </c>
      <c r="I186" s="51"/>
      <c r="J186" s="51"/>
    </row>
    <row r="187" customFormat="false" ht="15" hidden="false" customHeight="false" outlineLevel="0" collapsed="false">
      <c r="A187" s="65" t="n">
        <v>46269</v>
      </c>
      <c r="B187" s="51" t="s">
        <v>340</v>
      </c>
      <c r="C187" s="51" t="s">
        <v>341</v>
      </c>
      <c r="D187" s="51" t="s">
        <v>142</v>
      </c>
      <c r="E187" s="60" t="str">
        <f aca="false">IF(D187="","",IFERROR(INDEX(Settings!$C$16:$C$45,MATCH(D187,Settings!$B$16:$B$45,0)),"Check category"))</f>
        <v>Overhead</v>
      </c>
      <c r="F187" s="76" t="n">
        <v>20</v>
      </c>
      <c r="G187" s="51" t="s">
        <v>335</v>
      </c>
      <c r="H187" s="51" t="s">
        <v>247</v>
      </c>
      <c r="I187" s="51"/>
      <c r="J187" s="51"/>
    </row>
    <row r="188" customFormat="false" ht="15" hidden="false" customHeight="false" outlineLevel="0" collapsed="false">
      <c r="A188" s="65" t="n">
        <v>46269</v>
      </c>
      <c r="B188" s="51" t="s">
        <v>342</v>
      </c>
      <c r="C188" s="51" t="s">
        <v>343</v>
      </c>
      <c r="D188" s="51" t="s">
        <v>142</v>
      </c>
      <c r="E188" s="60" t="str">
        <f aca="false">IF(D188="","",IFERROR(INDEX(Settings!$C$16:$C$45,MATCH(D188,Settings!$B$16:$B$45,0)),"Check category"))</f>
        <v>Overhead</v>
      </c>
      <c r="F188" s="76" t="n">
        <v>12</v>
      </c>
      <c r="G188" s="51" t="s">
        <v>335</v>
      </c>
      <c r="H188" s="51" t="s">
        <v>247</v>
      </c>
      <c r="I188" s="51"/>
      <c r="J188" s="51"/>
    </row>
    <row r="189" customFormat="false" ht="15" hidden="false" customHeight="false" outlineLevel="0" collapsed="false">
      <c r="A189" s="65" t="n">
        <v>46270</v>
      </c>
      <c r="B189" s="51" t="s">
        <v>344</v>
      </c>
      <c r="C189" s="51" t="s">
        <v>345</v>
      </c>
      <c r="D189" s="51" t="s">
        <v>134</v>
      </c>
      <c r="E189" s="60" t="str">
        <f aca="false">IF(D189="","",IFERROR(INDEX(Settings!$C$16:$C$45,MATCH(D189,Settings!$B$16:$B$45,0)),"Check category"))</f>
        <v>Overhead</v>
      </c>
      <c r="F189" s="76" t="n">
        <v>62.35</v>
      </c>
      <c r="G189" s="51" t="s">
        <v>130</v>
      </c>
      <c r="H189" s="51" t="s">
        <v>247</v>
      </c>
      <c r="I189" s="51"/>
      <c r="J189" s="51"/>
    </row>
    <row r="190" customFormat="false" ht="15" hidden="false" customHeight="false" outlineLevel="0" collapsed="false">
      <c r="A190" s="65" t="n">
        <v>46271</v>
      </c>
      <c r="B190" s="51" t="s">
        <v>346</v>
      </c>
      <c r="C190" s="51" t="s">
        <v>347</v>
      </c>
      <c r="D190" s="51" t="s">
        <v>134</v>
      </c>
      <c r="E190" s="60" t="str">
        <f aca="false">IF(D190="","",IFERROR(INDEX(Settings!$C$16:$C$45,MATCH(D190,Settings!$B$16:$B$45,0)),"Check category"))</f>
        <v>Overhead</v>
      </c>
      <c r="F190" s="76" t="n">
        <v>65</v>
      </c>
      <c r="G190" s="51" t="s">
        <v>130</v>
      </c>
      <c r="H190" s="51" t="s">
        <v>247</v>
      </c>
      <c r="I190" s="51"/>
      <c r="J190" s="51"/>
    </row>
    <row r="191" customFormat="false" ht="15" hidden="false" customHeight="false" outlineLevel="0" collapsed="false">
      <c r="A191" s="65" t="n">
        <v>46273</v>
      </c>
      <c r="B191" s="51" t="s">
        <v>348</v>
      </c>
      <c r="C191" s="51" t="s">
        <v>349</v>
      </c>
      <c r="D191" s="51" t="s">
        <v>138</v>
      </c>
      <c r="E191" s="60" t="str">
        <f aca="false">IF(D191="","",IFERROR(INDEX(Settings!$C$16:$C$45,MATCH(D191,Settings!$B$16:$B$45,0)),"Check category"))</f>
        <v>Overhead</v>
      </c>
      <c r="F191" s="76" t="n">
        <v>85</v>
      </c>
      <c r="G191" s="51" t="s">
        <v>335</v>
      </c>
      <c r="H191" s="51" t="s">
        <v>247</v>
      </c>
      <c r="I191" s="51"/>
      <c r="J191" s="51"/>
    </row>
    <row r="192" customFormat="false" ht="15" hidden="false" customHeight="false" outlineLevel="0" collapsed="false">
      <c r="A192" s="65" t="n">
        <v>46275</v>
      </c>
      <c r="B192" s="51" t="s">
        <v>352</v>
      </c>
      <c r="C192" s="51" t="s">
        <v>353</v>
      </c>
      <c r="D192" s="51" t="s">
        <v>147</v>
      </c>
      <c r="E192" s="60" t="str">
        <f aca="false">IF(D192="","",IFERROR(INDEX(Settings!$C$16:$C$45,MATCH(D192,Settings!$B$16:$B$45,0)),"Check category"))</f>
        <v>Overhead</v>
      </c>
      <c r="F192" s="76" t="n">
        <v>145</v>
      </c>
      <c r="G192" s="51" t="s">
        <v>113</v>
      </c>
      <c r="H192" s="51" t="s">
        <v>247</v>
      </c>
      <c r="I192" s="51"/>
      <c r="J192" s="51"/>
    </row>
    <row r="193" customFormat="false" ht="15" hidden="false" customHeight="false" outlineLevel="0" collapsed="false">
      <c r="A193" s="65" t="n">
        <v>46277</v>
      </c>
      <c r="B193" s="51" t="s">
        <v>354</v>
      </c>
      <c r="C193" s="51" t="s">
        <v>355</v>
      </c>
      <c r="D193" s="51" t="s">
        <v>168</v>
      </c>
      <c r="E193" s="60" t="str">
        <f aca="false">IF(D193="","",IFERROR(INDEX(Settings!$C$16:$C$45,MATCH(D193,Settings!$B$16:$B$45,0)),"Check category"))</f>
        <v>Marketing &amp; Advertising</v>
      </c>
      <c r="F193" s="76" t="n">
        <v>39</v>
      </c>
      <c r="G193" s="51" t="s">
        <v>335</v>
      </c>
      <c r="H193" s="51" t="s">
        <v>247</v>
      </c>
      <c r="I193" s="51"/>
      <c r="J193" s="51"/>
    </row>
    <row r="194" customFormat="false" ht="15" hidden="false" customHeight="false" outlineLevel="0" collapsed="false">
      <c r="A194" s="65" t="n">
        <v>46279</v>
      </c>
      <c r="B194" s="51" t="s">
        <v>358</v>
      </c>
      <c r="C194" s="51" t="s">
        <v>359</v>
      </c>
      <c r="D194" s="51" t="s">
        <v>156</v>
      </c>
      <c r="E194" s="60" t="str">
        <f aca="false">IF(D194="","",IFERROR(INDEX(Settings!$C$16:$C$45,MATCH(D194,Settings!$B$16:$B$45,0)),"Check category"))</f>
        <v>Overhead</v>
      </c>
      <c r="F194" s="76" t="n">
        <v>42.67</v>
      </c>
      <c r="G194" s="51" t="s">
        <v>335</v>
      </c>
      <c r="H194" s="51" t="s">
        <v>247</v>
      </c>
      <c r="I194" s="51"/>
      <c r="J194" s="51"/>
    </row>
    <row r="195" customFormat="false" ht="15" hidden="false" customHeight="false" outlineLevel="0" collapsed="false">
      <c r="A195" s="65" t="n">
        <v>46280</v>
      </c>
      <c r="B195" s="51" t="s">
        <v>362</v>
      </c>
      <c r="C195" s="51" t="s">
        <v>363</v>
      </c>
      <c r="D195" s="51" t="s">
        <v>174</v>
      </c>
      <c r="E195" s="60" t="str">
        <f aca="false">IF(D195="","",IFERROR(INDEX(Settings!$C$16:$C$45,MATCH(D195,Settings!$B$16:$B$45,0)),"Check category"))</f>
        <v>Marketing &amp; Advertising</v>
      </c>
      <c r="F195" s="76" t="n">
        <v>29</v>
      </c>
      <c r="G195" s="51" t="s">
        <v>335</v>
      </c>
      <c r="H195" s="51" t="s">
        <v>247</v>
      </c>
      <c r="I195" s="51"/>
      <c r="J195" s="51"/>
    </row>
    <row r="196" customFormat="false" ht="15" hidden="false" customHeight="false" outlineLevel="0" collapsed="false">
      <c r="A196" s="65" t="n">
        <v>46280</v>
      </c>
      <c r="B196" s="51" t="s">
        <v>364</v>
      </c>
      <c r="C196" s="51" t="s">
        <v>365</v>
      </c>
      <c r="D196" s="51" t="s">
        <v>108</v>
      </c>
      <c r="E196" s="60" t="str">
        <f aca="false">IF(D196="","",IFERROR(INDEX(Settings!$C$16:$C$45,MATCH(D196,Settings!$B$16:$B$45,0)),"Check category"))</f>
        <v>Owner Pay &amp; Taxes</v>
      </c>
      <c r="F196" s="76" t="n">
        <v>4500</v>
      </c>
      <c r="G196" s="51" t="s">
        <v>113</v>
      </c>
      <c r="H196" s="51" t="s">
        <v>247</v>
      </c>
      <c r="I196" s="51"/>
      <c r="J196" s="51"/>
    </row>
    <row r="197" customFormat="false" ht="15" hidden="false" customHeight="false" outlineLevel="0" collapsed="false">
      <c r="A197" s="65" t="n">
        <v>46280</v>
      </c>
      <c r="B197" s="51" t="s">
        <v>393</v>
      </c>
      <c r="C197" s="51" t="s">
        <v>394</v>
      </c>
      <c r="D197" s="51" t="s">
        <v>118</v>
      </c>
      <c r="E197" s="60" t="str">
        <f aca="false">IF(D197="","",IFERROR(INDEX(Settings!$C$16:$C$45,MATCH(D197,Settings!$B$16:$B$45,0)),"Check category"))</f>
        <v>Owner Pay &amp; Taxes</v>
      </c>
      <c r="F197" s="76" t="n">
        <v>4500</v>
      </c>
      <c r="G197" s="51" t="s">
        <v>113</v>
      </c>
      <c r="H197" s="51" t="s">
        <v>247</v>
      </c>
      <c r="I197" s="51"/>
      <c r="J197" s="51"/>
    </row>
    <row r="198" customFormat="false" ht="15" hidden="false" customHeight="false" outlineLevel="0" collapsed="false">
      <c r="A198" s="65" t="n">
        <v>46283</v>
      </c>
      <c r="B198" s="51" t="s">
        <v>387</v>
      </c>
      <c r="C198" s="51" t="s">
        <v>369</v>
      </c>
      <c r="D198" s="51" t="s">
        <v>166</v>
      </c>
      <c r="E198" s="60" t="str">
        <f aca="false">IF(D198="","",IFERROR(INDEX(Settings!$C$16:$C$45,MATCH(D198,Settings!$B$16:$B$45,0)),"Check category"))</f>
        <v>Marketing &amp; Advertising</v>
      </c>
      <c r="F198" s="76" t="n">
        <v>600</v>
      </c>
      <c r="G198" s="51" t="s">
        <v>335</v>
      </c>
      <c r="H198" s="51" t="s">
        <v>247</v>
      </c>
      <c r="I198" s="51"/>
      <c r="J198" s="51"/>
    </row>
    <row r="199" customFormat="false" ht="15" hidden="false" customHeight="false" outlineLevel="0" collapsed="false">
      <c r="A199" s="65" t="n">
        <v>46284</v>
      </c>
      <c r="B199" s="51" t="s">
        <v>358</v>
      </c>
      <c r="C199" s="51" t="s">
        <v>406</v>
      </c>
      <c r="D199" s="51" t="s">
        <v>156</v>
      </c>
      <c r="E199" s="60" t="str">
        <f aca="false">IF(D199="","",IFERROR(INDEX(Settings!$C$16:$C$45,MATCH(D199,Settings!$B$16:$B$45,0)),"Check category"))</f>
        <v>Overhead</v>
      </c>
      <c r="F199" s="76" t="n">
        <v>64</v>
      </c>
      <c r="G199" s="51" t="s">
        <v>335</v>
      </c>
      <c r="H199" s="51" t="s">
        <v>250</v>
      </c>
      <c r="I199" s="51"/>
      <c r="J199" s="51"/>
    </row>
    <row r="200" customFormat="false" ht="15" hidden="false" customHeight="false" outlineLevel="0" collapsed="false">
      <c r="A200" s="65" t="n">
        <v>46285</v>
      </c>
      <c r="B200" s="51" t="s">
        <v>370</v>
      </c>
      <c r="C200" s="51" t="s">
        <v>180</v>
      </c>
      <c r="D200" s="51" t="s">
        <v>180</v>
      </c>
      <c r="E200" s="60" t="str">
        <f aca="false">IF(D200="","",IFERROR(INDEX(Settings!$C$16:$C$45,MATCH(D200,Settings!$B$16:$B$45,0)),"Check category"))</f>
        <v>Contractors &amp; Vendors</v>
      </c>
      <c r="F200" s="76" t="n">
        <v>350</v>
      </c>
      <c r="G200" s="51" t="s">
        <v>113</v>
      </c>
      <c r="H200" s="51" t="s">
        <v>247</v>
      </c>
      <c r="I200" s="51"/>
      <c r="J200" s="51"/>
    </row>
    <row r="201" customFormat="false" ht="15" hidden="false" customHeight="false" outlineLevel="0" collapsed="false">
      <c r="A201" s="65" t="n">
        <v>46287</v>
      </c>
      <c r="B201" s="51" t="s">
        <v>371</v>
      </c>
      <c r="C201" s="51" t="s">
        <v>372</v>
      </c>
      <c r="D201" s="51" t="s">
        <v>179</v>
      </c>
      <c r="E201" s="60" t="str">
        <f aca="false">IF(D201="","",IFERROR(INDEX(Settings!$C$16:$C$45,MATCH(D201,Settings!$B$16:$B$45,0)),"Check category"))</f>
        <v>Contractors &amp; Vendors</v>
      </c>
      <c r="F201" s="76" t="n">
        <v>100</v>
      </c>
      <c r="G201" s="51" t="s">
        <v>144</v>
      </c>
      <c r="H201" s="51" t="s">
        <v>247</v>
      </c>
      <c r="I201" s="51"/>
      <c r="J201" s="51"/>
    </row>
    <row r="202" customFormat="false" ht="15" hidden="false" customHeight="false" outlineLevel="0" collapsed="false">
      <c r="A202" s="65" t="n">
        <v>46290</v>
      </c>
      <c r="B202" s="51" t="s">
        <v>373</v>
      </c>
      <c r="C202" s="51" t="s">
        <v>374</v>
      </c>
      <c r="D202" s="51" t="s">
        <v>172</v>
      </c>
      <c r="E202" s="60" t="str">
        <f aca="false">IF(D202="","",IFERROR(INDEX(Settings!$C$16:$C$45,MATCH(D202,Settings!$B$16:$B$45,0)),"Check category"))</f>
        <v>Marketing &amp; Advertising</v>
      </c>
      <c r="F202" s="76" t="n">
        <v>25</v>
      </c>
      <c r="G202" s="51" t="s">
        <v>335</v>
      </c>
      <c r="H202" s="51" t="s">
        <v>247</v>
      </c>
      <c r="I202" s="51"/>
      <c r="J202" s="51"/>
    </row>
    <row r="203" customFormat="false" ht="15" hidden="false" customHeight="false" outlineLevel="0" collapsed="false">
      <c r="A203" s="65" t="n">
        <v>46292</v>
      </c>
      <c r="B203" s="51" t="s">
        <v>375</v>
      </c>
      <c r="C203" s="51" t="s">
        <v>407</v>
      </c>
      <c r="D203" s="51" t="s">
        <v>159</v>
      </c>
      <c r="E203" s="60" t="str">
        <f aca="false">IF(D203="","",IFERROR(INDEX(Settings!$C$16:$C$45,MATCH(D203,Settings!$B$16:$B$45,0)),"Check category"))</f>
        <v>Overhead</v>
      </c>
      <c r="F203" s="76" t="n">
        <v>68.15</v>
      </c>
      <c r="G203" s="51" t="s">
        <v>113</v>
      </c>
      <c r="H203" s="51" t="s">
        <v>247</v>
      </c>
      <c r="I203" s="51"/>
      <c r="J203" s="51"/>
    </row>
    <row r="204" customFormat="false" ht="15" hidden="false" customHeight="false" outlineLevel="0" collapsed="false">
      <c r="A204" s="65" t="n">
        <v>46293</v>
      </c>
      <c r="B204" s="51" t="s">
        <v>377</v>
      </c>
      <c r="C204" s="51" t="s">
        <v>378</v>
      </c>
      <c r="D204" s="51" t="s">
        <v>162</v>
      </c>
      <c r="E204" s="60" t="str">
        <f aca="false">IF(D204="","",IFERROR(INDEX(Settings!$C$16:$C$45,MATCH(D204,Settings!$B$16:$B$45,0)),"Check category"))</f>
        <v>Overhead</v>
      </c>
      <c r="F204" s="76" t="n">
        <v>64.19</v>
      </c>
      <c r="G204" s="51" t="s">
        <v>113</v>
      </c>
      <c r="H204" s="51" t="s">
        <v>247</v>
      </c>
      <c r="I204" s="51"/>
      <c r="J204" s="51"/>
    </row>
    <row r="205" customFormat="false" ht="15" hidden="false" customHeight="false" outlineLevel="0" collapsed="false">
      <c r="A205" s="65"/>
      <c r="B205" s="51"/>
      <c r="C205" s="51"/>
      <c r="D205" s="51"/>
      <c r="E205" s="60" t="str">
        <f aca="false">IF(D205="","",IFERROR(INDEX(Settings!$C$16:$C$45,MATCH(D205,Settings!$B$16:$B$45,0)),"Check category"))</f>
        <v/>
      </c>
      <c r="F205" s="76"/>
      <c r="G205" s="51"/>
      <c r="H205" s="51"/>
      <c r="I205" s="51"/>
      <c r="J205" s="51"/>
    </row>
    <row r="206" customFormat="false" ht="15" hidden="false" customHeight="false" outlineLevel="0" collapsed="false">
      <c r="A206" s="65"/>
      <c r="B206" s="51"/>
      <c r="C206" s="51"/>
      <c r="D206" s="51"/>
      <c r="E206" s="60" t="str">
        <f aca="false">IF(D206="","",IFERROR(INDEX(Settings!$C$16:$C$45,MATCH(D206,Settings!$B$16:$B$45,0)),"Check category"))</f>
        <v/>
      </c>
      <c r="F206" s="76"/>
      <c r="G206" s="51"/>
      <c r="H206" s="51"/>
      <c r="I206" s="51"/>
      <c r="J206" s="51"/>
    </row>
    <row r="207" customFormat="false" ht="15" hidden="false" customHeight="false" outlineLevel="0" collapsed="false">
      <c r="A207" s="65"/>
      <c r="B207" s="51"/>
      <c r="C207" s="51"/>
      <c r="D207" s="51"/>
      <c r="E207" s="60" t="str">
        <f aca="false">IF(D207="","",IFERROR(INDEX(Settings!$C$16:$C$45,MATCH(D207,Settings!$B$16:$B$45,0)),"Check category"))</f>
        <v/>
      </c>
      <c r="F207" s="76"/>
      <c r="G207" s="51"/>
      <c r="H207" s="51"/>
      <c r="I207" s="51"/>
      <c r="J207" s="51"/>
    </row>
    <row r="208" customFormat="false" ht="15" hidden="false" customHeight="false" outlineLevel="0" collapsed="false">
      <c r="A208" s="65"/>
      <c r="B208" s="51"/>
      <c r="C208" s="51"/>
      <c r="D208" s="51"/>
      <c r="E208" s="60" t="str">
        <f aca="false">IF(D208="","",IFERROR(INDEX(Settings!$C$16:$C$45,MATCH(D208,Settings!$B$16:$B$45,0)),"Check category"))</f>
        <v/>
      </c>
      <c r="F208" s="76"/>
      <c r="G208" s="51"/>
      <c r="H208" s="51"/>
      <c r="I208" s="51"/>
      <c r="J208" s="51"/>
    </row>
    <row r="209" customFormat="false" ht="15" hidden="false" customHeight="false" outlineLevel="0" collapsed="false">
      <c r="A209" s="65"/>
      <c r="B209" s="51"/>
      <c r="C209" s="51"/>
      <c r="D209" s="51"/>
      <c r="E209" s="60" t="str">
        <f aca="false">IF(D209="","",IFERROR(INDEX(Settings!$C$16:$C$45,MATCH(D209,Settings!$B$16:$B$45,0)),"Check category"))</f>
        <v/>
      </c>
      <c r="F209" s="76"/>
      <c r="G209" s="51"/>
      <c r="H209" s="51"/>
      <c r="I209" s="51"/>
      <c r="J209" s="51"/>
    </row>
    <row r="210" customFormat="false" ht="15" hidden="false" customHeight="false" outlineLevel="0" collapsed="false">
      <c r="A210" s="65"/>
      <c r="B210" s="51"/>
      <c r="C210" s="51"/>
      <c r="D210" s="51"/>
      <c r="E210" s="60" t="str">
        <f aca="false">IF(D210="","",IFERROR(INDEX(Settings!$C$16:$C$45,MATCH(D210,Settings!$B$16:$B$45,0)),"Check category"))</f>
        <v/>
      </c>
      <c r="F210" s="76"/>
      <c r="G210" s="51"/>
      <c r="H210" s="51"/>
      <c r="I210" s="51"/>
      <c r="J210" s="51"/>
    </row>
    <row r="211" customFormat="false" ht="15" hidden="false" customHeight="false" outlineLevel="0" collapsed="false">
      <c r="A211" s="65"/>
      <c r="B211" s="51"/>
      <c r="C211" s="51"/>
      <c r="D211" s="51"/>
      <c r="E211" s="60" t="str">
        <f aca="false">IF(D211="","",IFERROR(INDEX(Settings!$C$16:$C$45,MATCH(D211,Settings!$B$16:$B$45,0)),"Check category"))</f>
        <v/>
      </c>
      <c r="F211" s="76"/>
      <c r="G211" s="51"/>
      <c r="H211" s="51"/>
      <c r="I211" s="51"/>
      <c r="J211" s="51"/>
    </row>
    <row r="212" customFormat="false" ht="15" hidden="false" customHeight="false" outlineLevel="0" collapsed="false">
      <c r="A212" s="65"/>
      <c r="B212" s="51"/>
      <c r="C212" s="51"/>
      <c r="D212" s="51"/>
      <c r="E212" s="60" t="str">
        <f aca="false">IF(D212="","",IFERROR(INDEX(Settings!$C$16:$C$45,MATCH(D212,Settings!$B$16:$B$45,0)),"Check category"))</f>
        <v/>
      </c>
      <c r="F212" s="76"/>
      <c r="G212" s="51"/>
      <c r="H212" s="51"/>
      <c r="I212" s="51"/>
      <c r="J212" s="51"/>
    </row>
    <row r="213" customFormat="false" ht="15" hidden="false" customHeight="false" outlineLevel="0" collapsed="false">
      <c r="A213" s="65"/>
      <c r="B213" s="51"/>
      <c r="C213" s="51"/>
      <c r="D213" s="51"/>
      <c r="E213" s="60" t="str">
        <f aca="false">IF(D213="","",IFERROR(INDEX(Settings!$C$16:$C$45,MATCH(D213,Settings!$B$16:$B$45,0)),"Check category"))</f>
        <v/>
      </c>
      <c r="F213" s="76"/>
      <c r="G213" s="51"/>
      <c r="H213" s="51"/>
      <c r="I213" s="51"/>
      <c r="J213" s="51"/>
    </row>
    <row r="214" customFormat="false" ht="15" hidden="false" customHeight="false" outlineLevel="0" collapsed="false">
      <c r="A214" s="65"/>
      <c r="B214" s="51"/>
      <c r="C214" s="51"/>
      <c r="D214" s="51"/>
      <c r="E214" s="60" t="str">
        <f aca="false">IF(D214="","",IFERROR(INDEX(Settings!$C$16:$C$45,MATCH(D214,Settings!$B$16:$B$45,0)),"Check category"))</f>
        <v/>
      </c>
      <c r="F214" s="76"/>
      <c r="G214" s="51"/>
      <c r="H214" s="51"/>
      <c r="I214" s="51"/>
      <c r="J214" s="51"/>
    </row>
    <row r="215" customFormat="false" ht="15" hidden="false" customHeight="false" outlineLevel="0" collapsed="false">
      <c r="A215" s="65"/>
      <c r="B215" s="51"/>
      <c r="C215" s="51"/>
      <c r="D215" s="51"/>
      <c r="E215" s="60" t="str">
        <f aca="false">IF(D215="","",IFERROR(INDEX(Settings!$C$16:$C$45,MATCH(D215,Settings!$B$16:$B$45,0)),"Check category"))</f>
        <v/>
      </c>
      <c r="F215" s="76"/>
      <c r="G215" s="51"/>
      <c r="H215" s="51"/>
      <c r="I215" s="51"/>
      <c r="J215" s="51"/>
    </row>
    <row r="216" customFormat="false" ht="15" hidden="false" customHeight="false" outlineLevel="0" collapsed="false">
      <c r="A216" s="65"/>
      <c r="B216" s="51"/>
      <c r="C216" s="51"/>
      <c r="D216" s="51"/>
      <c r="E216" s="60" t="str">
        <f aca="false">IF(D216="","",IFERROR(INDEX(Settings!$C$16:$C$45,MATCH(D216,Settings!$B$16:$B$45,0)),"Check category"))</f>
        <v/>
      </c>
      <c r="F216" s="76"/>
      <c r="G216" s="51"/>
      <c r="H216" s="51"/>
      <c r="I216" s="51"/>
      <c r="J216" s="51"/>
    </row>
    <row r="217" customFormat="false" ht="15" hidden="false" customHeight="false" outlineLevel="0" collapsed="false">
      <c r="A217" s="65"/>
      <c r="B217" s="51"/>
      <c r="C217" s="51"/>
      <c r="D217" s="51"/>
      <c r="E217" s="60" t="str">
        <f aca="false">IF(D217="","",IFERROR(INDEX(Settings!$C$16:$C$45,MATCH(D217,Settings!$B$16:$B$45,0)),"Check category"))</f>
        <v/>
      </c>
      <c r="F217" s="76"/>
      <c r="G217" s="51"/>
      <c r="H217" s="51"/>
      <c r="I217" s="51"/>
      <c r="J217" s="51"/>
    </row>
    <row r="218" customFormat="false" ht="15" hidden="false" customHeight="false" outlineLevel="0" collapsed="false">
      <c r="A218" s="65"/>
      <c r="B218" s="51"/>
      <c r="C218" s="51"/>
      <c r="D218" s="51"/>
      <c r="E218" s="60" t="str">
        <f aca="false">IF(D218="","",IFERROR(INDEX(Settings!$C$16:$C$45,MATCH(D218,Settings!$B$16:$B$45,0)),"Check category"))</f>
        <v/>
      </c>
      <c r="F218" s="76"/>
      <c r="G218" s="51"/>
      <c r="H218" s="51"/>
      <c r="I218" s="51"/>
      <c r="J218" s="51"/>
    </row>
    <row r="219" customFormat="false" ht="15" hidden="false" customHeight="false" outlineLevel="0" collapsed="false">
      <c r="A219" s="65"/>
      <c r="B219" s="51"/>
      <c r="C219" s="51"/>
      <c r="D219" s="51"/>
      <c r="E219" s="60" t="str">
        <f aca="false">IF(D219="","",IFERROR(INDEX(Settings!$C$16:$C$45,MATCH(D219,Settings!$B$16:$B$45,0)),"Check category"))</f>
        <v/>
      </c>
      <c r="F219" s="76"/>
      <c r="G219" s="51"/>
      <c r="H219" s="51"/>
      <c r="I219" s="51"/>
      <c r="J219" s="51"/>
    </row>
    <row r="220" customFormat="false" ht="15" hidden="false" customHeight="false" outlineLevel="0" collapsed="false">
      <c r="A220" s="65"/>
      <c r="B220" s="51"/>
      <c r="C220" s="51"/>
      <c r="D220" s="51"/>
      <c r="E220" s="60" t="str">
        <f aca="false">IF(D220="","",IFERROR(INDEX(Settings!$C$16:$C$45,MATCH(D220,Settings!$B$16:$B$45,0)),"Check category"))</f>
        <v/>
      </c>
      <c r="F220" s="76"/>
      <c r="G220" s="51"/>
      <c r="H220" s="51"/>
      <c r="I220" s="51"/>
      <c r="J220" s="51"/>
    </row>
    <row r="221" customFormat="false" ht="15" hidden="false" customHeight="false" outlineLevel="0" collapsed="false">
      <c r="A221" s="65"/>
      <c r="B221" s="51"/>
      <c r="C221" s="51"/>
      <c r="D221" s="51"/>
      <c r="E221" s="60" t="str">
        <f aca="false">IF(D221="","",IFERROR(INDEX(Settings!$C$16:$C$45,MATCH(D221,Settings!$B$16:$B$45,0)),"Check category"))</f>
        <v/>
      </c>
      <c r="F221" s="76"/>
      <c r="G221" s="51"/>
      <c r="H221" s="51"/>
      <c r="I221" s="51"/>
      <c r="J221" s="51"/>
    </row>
    <row r="222" customFormat="false" ht="15" hidden="false" customHeight="false" outlineLevel="0" collapsed="false">
      <c r="A222" s="65"/>
      <c r="B222" s="51"/>
      <c r="C222" s="51"/>
      <c r="D222" s="51"/>
      <c r="E222" s="60" t="str">
        <f aca="false">IF(D222="","",IFERROR(INDEX(Settings!$C$16:$C$45,MATCH(D222,Settings!$B$16:$B$45,0)),"Check category"))</f>
        <v/>
      </c>
      <c r="F222" s="76"/>
      <c r="G222" s="51"/>
      <c r="H222" s="51"/>
      <c r="I222" s="51"/>
      <c r="J222" s="51"/>
    </row>
    <row r="223" customFormat="false" ht="15" hidden="false" customHeight="false" outlineLevel="0" collapsed="false">
      <c r="A223" s="65"/>
      <c r="B223" s="51"/>
      <c r="C223" s="51"/>
      <c r="D223" s="51"/>
      <c r="E223" s="60" t="str">
        <f aca="false">IF(D223="","",IFERROR(INDEX(Settings!$C$16:$C$45,MATCH(D223,Settings!$B$16:$B$45,0)),"Check category"))</f>
        <v/>
      </c>
      <c r="F223" s="76"/>
      <c r="G223" s="51"/>
      <c r="H223" s="51"/>
      <c r="I223" s="51"/>
      <c r="J223" s="51"/>
    </row>
    <row r="224" customFormat="false" ht="15" hidden="false" customHeight="false" outlineLevel="0" collapsed="false">
      <c r="A224" s="65"/>
      <c r="B224" s="51"/>
      <c r="C224" s="51"/>
      <c r="D224" s="51"/>
      <c r="E224" s="60" t="str">
        <f aca="false">IF(D224="","",IFERROR(INDEX(Settings!$C$16:$C$45,MATCH(D224,Settings!$B$16:$B$45,0)),"Check category"))</f>
        <v/>
      </c>
      <c r="F224" s="76"/>
      <c r="G224" s="51"/>
      <c r="H224" s="51"/>
      <c r="I224" s="51"/>
      <c r="J224" s="51"/>
    </row>
    <row r="225" customFormat="false" ht="15" hidden="false" customHeight="false" outlineLevel="0" collapsed="false">
      <c r="A225" s="65"/>
      <c r="B225" s="51"/>
      <c r="C225" s="51"/>
      <c r="D225" s="51"/>
      <c r="E225" s="60" t="str">
        <f aca="false">IF(D225="","",IFERROR(INDEX(Settings!$C$16:$C$45,MATCH(D225,Settings!$B$16:$B$45,0)),"Check category"))</f>
        <v/>
      </c>
      <c r="F225" s="76"/>
      <c r="G225" s="51"/>
      <c r="H225" s="51"/>
      <c r="I225" s="51"/>
      <c r="J225" s="51"/>
    </row>
    <row r="226" customFormat="false" ht="15" hidden="false" customHeight="false" outlineLevel="0" collapsed="false">
      <c r="A226" s="65"/>
      <c r="B226" s="51"/>
      <c r="C226" s="51"/>
      <c r="D226" s="51"/>
      <c r="E226" s="60" t="str">
        <f aca="false">IF(D226="","",IFERROR(INDEX(Settings!$C$16:$C$45,MATCH(D226,Settings!$B$16:$B$45,0)),"Check category"))</f>
        <v/>
      </c>
      <c r="F226" s="76"/>
      <c r="G226" s="51"/>
      <c r="H226" s="51"/>
      <c r="I226" s="51"/>
      <c r="J226" s="51"/>
    </row>
    <row r="227" customFormat="false" ht="15" hidden="false" customHeight="false" outlineLevel="0" collapsed="false">
      <c r="A227" s="65"/>
      <c r="B227" s="51"/>
      <c r="C227" s="51"/>
      <c r="D227" s="51"/>
      <c r="E227" s="60" t="str">
        <f aca="false">IF(D227="","",IFERROR(INDEX(Settings!$C$16:$C$45,MATCH(D227,Settings!$B$16:$B$45,0)),"Check category"))</f>
        <v/>
      </c>
      <c r="F227" s="76"/>
      <c r="G227" s="51"/>
      <c r="H227" s="51"/>
      <c r="I227" s="51"/>
      <c r="J227" s="51"/>
    </row>
    <row r="228" customFormat="false" ht="15" hidden="false" customHeight="false" outlineLevel="0" collapsed="false">
      <c r="A228" s="65"/>
      <c r="B228" s="51"/>
      <c r="C228" s="51"/>
      <c r="D228" s="51"/>
      <c r="E228" s="60" t="str">
        <f aca="false">IF(D228="","",IFERROR(INDEX(Settings!$C$16:$C$45,MATCH(D228,Settings!$B$16:$B$45,0)),"Check category"))</f>
        <v/>
      </c>
      <c r="F228" s="76"/>
      <c r="G228" s="51"/>
      <c r="H228" s="51"/>
      <c r="I228" s="51"/>
      <c r="J228" s="51"/>
    </row>
    <row r="229" customFormat="false" ht="15" hidden="false" customHeight="false" outlineLevel="0" collapsed="false">
      <c r="A229" s="65"/>
      <c r="B229" s="51"/>
      <c r="C229" s="51"/>
      <c r="D229" s="51"/>
      <c r="E229" s="60" t="str">
        <f aca="false">IF(D229="","",IFERROR(INDEX(Settings!$C$16:$C$45,MATCH(D229,Settings!$B$16:$B$45,0)),"Check category"))</f>
        <v/>
      </c>
      <c r="F229" s="76"/>
      <c r="G229" s="51"/>
      <c r="H229" s="51"/>
      <c r="I229" s="51"/>
      <c r="J229" s="51"/>
    </row>
    <row r="230" customFormat="false" ht="15" hidden="false" customHeight="false" outlineLevel="0" collapsed="false">
      <c r="A230" s="65"/>
      <c r="B230" s="51"/>
      <c r="C230" s="51"/>
      <c r="D230" s="51"/>
      <c r="E230" s="60" t="str">
        <f aca="false">IF(D230="","",IFERROR(INDEX(Settings!$C$16:$C$45,MATCH(D230,Settings!$B$16:$B$45,0)),"Check category"))</f>
        <v/>
      </c>
      <c r="F230" s="76"/>
      <c r="G230" s="51"/>
      <c r="H230" s="51"/>
      <c r="I230" s="51"/>
      <c r="J230" s="51"/>
    </row>
    <row r="231" customFormat="false" ht="15" hidden="false" customHeight="false" outlineLevel="0" collapsed="false">
      <c r="A231" s="65"/>
      <c r="B231" s="51"/>
      <c r="C231" s="51"/>
      <c r="D231" s="51"/>
      <c r="E231" s="60" t="str">
        <f aca="false">IF(D231="","",IFERROR(INDEX(Settings!$C$16:$C$45,MATCH(D231,Settings!$B$16:$B$45,0)),"Check category"))</f>
        <v/>
      </c>
      <c r="F231" s="76"/>
      <c r="G231" s="51"/>
      <c r="H231" s="51"/>
      <c r="I231" s="51"/>
      <c r="J231" s="51"/>
    </row>
    <row r="232" customFormat="false" ht="15" hidden="false" customHeight="false" outlineLevel="0" collapsed="false">
      <c r="A232" s="65"/>
      <c r="B232" s="51"/>
      <c r="C232" s="51"/>
      <c r="D232" s="51"/>
      <c r="E232" s="60" t="str">
        <f aca="false">IF(D232="","",IFERROR(INDEX(Settings!$C$16:$C$45,MATCH(D232,Settings!$B$16:$B$45,0)),"Check category"))</f>
        <v/>
      </c>
      <c r="F232" s="76"/>
      <c r="G232" s="51"/>
      <c r="H232" s="51"/>
      <c r="I232" s="51"/>
      <c r="J232" s="51"/>
    </row>
    <row r="233" customFormat="false" ht="15" hidden="false" customHeight="false" outlineLevel="0" collapsed="false">
      <c r="A233" s="65"/>
      <c r="B233" s="51"/>
      <c r="C233" s="51"/>
      <c r="D233" s="51"/>
      <c r="E233" s="60" t="str">
        <f aca="false">IF(D233="","",IFERROR(INDEX(Settings!$C$16:$C$45,MATCH(D233,Settings!$B$16:$B$45,0)),"Check category"))</f>
        <v/>
      </c>
      <c r="F233" s="76"/>
      <c r="G233" s="51"/>
      <c r="H233" s="51"/>
      <c r="I233" s="51"/>
      <c r="J233" s="51"/>
    </row>
    <row r="234" customFormat="false" ht="15" hidden="false" customHeight="false" outlineLevel="0" collapsed="false">
      <c r="A234" s="65"/>
      <c r="B234" s="51"/>
      <c r="C234" s="51"/>
      <c r="D234" s="51"/>
      <c r="E234" s="60" t="str">
        <f aca="false">IF(D234="","",IFERROR(INDEX(Settings!$C$16:$C$45,MATCH(D234,Settings!$B$16:$B$45,0)),"Check category"))</f>
        <v/>
      </c>
      <c r="F234" s="76"/>
      <c r="G234" s="51"/>
      <c r="H234" s="51"/>
      <c r="I234" s="51"/>
      <c r="J234" s="51"/>
    </row>
    <row r="235" customFormat="false" ht="15" hidden="false" customHeight="false" outlineLevel="0" collapsed="false">
      <c r="A235" s="65"/>
      <c r="B235" s="51"/>
      <c r="C235" s="51"/>
      <c r="D235" s="51"/>
      <c r="E235" s="60" t="str">
        <f aca="false">IF(D235="","",IFERROR(INDEX(Settings!$C$16:$C$45,MATCH(D235,Settings!$B$16:$B$45,0)),"Check category"))</f>
        <v/>
      </c>
      <c r="F235" s="76"/>
      <c r="G235" s="51"/>
      <c r="H235" s="51"/>
      <c r="I235" s="51"/>
      <c r="J235" s="51"/>
    </row>
    <row r="236" customFormat="false" ht="15" hidden="false" customHeight="false" outlineLevel="0" collapsed="false">
      <c r="A236" s="65"/>
      <c r="B236" s="51"/>
      <c r="C236" s="51"/>
      <c r="D236" s="51"/>
      <c r="E236" s="60" t="str">
        <f aca="false">IF(D236="","",IFERROR(INDEX(Settings!$C$16:$C$45,MATCH(D236,Settings!$B$16:$B$45,0)),"Check category"))</f>
        <v/>
      </c>
      <c r="F236" s="76"/>
      <c r="G236" s="51"/>
      <c r="H236" s="51"/>
      <c r="I236" s="51"/>
      <c r="J236" s="51"/>
    </row>
    <row r="237" customFormat="false" ht="15" hidden="false" customHeight="false" outlineLevel="0" collapsed="false">
      <c r="A237" s="65"/>
      <c r="B237" s="51"/>
      <c r="C237" s="51"/>
      <c r="D237" s="51"/>
      <c r="E237" s="60" t="str">
        <f aca="false">IF(D237="","",IFERROR(INDEX(Settings!$C$16:$C$45,MATCH(D237,Settings!$B$16:$B$45,0)),"Check category"))</f>
        <v/>
      </c>
      <c r="F237" s="76"/>
      <c r="G237" s="51"/>
      <c r="H237" s="51"/>
      <c r="I237" s="51"/>
      <c r="J237" s="51"/>
    </row>
    <row r="238" customFormat="false" ht="15" hidden="false" customHeight="false" outlineLevel="0" collapsed="false">
      <c r="A238" s="65"/>
      <c r="B238" s="51"/>
      <c r="C238" s="51"/>
      <c r="D238" s="51"/>
      <c r="E238" s="60" t="str">
        <f aca="false">IF(D238="","",IFERROR(INDEX(Settings!$C$16:$C$45,MATCH(D238,Settings!$B$16:$B$45,0)),"Check category"))</f>
        <v/>
      </c>
      <c r="F238" s="76"/>
      <c r="G238" s="51"/>
      <c r="H238" s="51"/>
      <c r="I238" s="51"/>
      <c r="J238" s="51"/>
    </row>
    <row r="239" customFormat="false" ht="15" hidden="false" customHeight="false" outlineLevel="0" collapsed="false">
      <c r="A239" s="65"/>
      <c r="B239" s="51"/>
      <c r="C239" s="51"/>
      <c r="D239" s="51"/>
      <c r="E239" s="60" t="str">
        <f aca="false">IF(D239="","",IFERROR(INDEX(Settings!$C$16:$C$45,MATCH(D239,Settings!$B$16:$B$45,0)),"Check category"))</f>
        <v/>
      </c>
      <c r="F239" s="76"/>
      <c r="G239" s="51"/>
      <c r="H239" s="51"/>
      <c r="I239" s="51"/>
      <c r="J239" s="51"/>
    </row>
    <row r="240" customFormat="false" ht="15" hidden="false" customHeight="false" outlineLevel="0" collapsed="false">
      <c r="A240" s="65"/>
      <c r="B240" s="51"/>
      <c r="C240" s="51"/>
      <c r="D240" s="51"/>
      <c r="E240" s="60" t="str">
        <f aca="false">IF(D240="","",IFERROR(INDEX(Settings!$C$16:$C$45,MATCH(D240,Settings!$B$16:$B$45,0)),"Check category"))</f>
        <v/>
      </c>
      <c r="F240" s="76"/>
      <c r="G240" s="51"/>
      <c r="H240" s="51"/>
      <c r="I240" s="51"/>
      <c r="J240" s="51"/>
    </row>
    <row r="241" customFormat="false" ht="15" hidden="false" customHeight="false" outlineLevel="0" collapsed="false">
      <c r="A241" s="65"/>
      <c r="B241" s="51"/>
      <c r="C241" s="51"/>
      <c r="D241" s="51"/>
      <c r="E241" s="60" t="str">
        <f aca="false">IF(D241="","",IFERROR(INDEX(Settings!$C$16:$C$45,MATCH(D241,Settings!$B$16:$B$45,0)),"Check category"))</f>
        <v/>
      </c>
      <c r="F241" s="76"/>
      <c r="G241" s="51"/>
      <c r="H241" s="51"/>
      <c r="I241" s="51"/>
      <c r="J241" s="51"/>
    </row>
    <row r="242" customFormat="false" ht="15" hidden="false" customHeight="false" outlineLevel="0" collapsed="false">
      <c r="A242" s="65"/>
      <c r="B242" s="51"/>
      <c r="C242" s="51"/>
      <c r="D242" s="51"/>
      <c r="E242" s="60" t="str">
        <f aca="false">IF(D242="","",IFERROR(INDEX(Settings!$C$16:$C$45,MATCH(D242,Settings!$B$16:$B$45,0)),"Check category"))</f>
        <v/>
      </c>
      <c r="F242" s="76"/>
      <c r="G242" s="51"/>
      <c r="H242" s="51"/>
      <c r="I242" s="51"/>
      <c r="J242" s="51"/>
    </row>
    <row r="243" customFormat="false" ht="15" hidden="false" customHeight="false" outlineLevel="0" collapsed="false">
      <c r="A243" s="65"/>
      <c r="B243" s="51"/>
      <c r="C243" s="51"/>
      <c r="D243" s="51"/>
      <c r="E243" s="60" t="str">
        <f aca="false">IF(D243="","",IFERROR(INDEX(Settings!$C$16:$C$45,MATCH(D243,Settings!$B$16:$B$45,0)),"Check category"))</f>
        <v/>
      </c>
      <c r="F243" s="76"/>
      <c r="G243" s="51"/>
      <c r="H243" s="51"/>
      <c r="I243" s="51"/>
      <c r="J243" s="51"/>
    </row>
    <row r="244" customFormat="false" ht="15" hidden="false" customHeight="false" outlineLevel="0" collapsed="false">
      <c r="A244" s="65"/>
      <c r="B244" s="51"/>
      <c r="C244" s="51"/>
      <c r="D244" s="51"/>
      <c r="E244" s="60" t="str">
        <f aca="false">IF(D244="","",IFERROR(INDEX(Settings!$C$16:$C$45,MATCH(D244,Settings!$B$16:$B$45,0)),"Check category"))</f>
        <v/>
      </c>
      <c r="F244" s="76"/>
      <c r="G244" s="51"/>
      <c r="H244" s="51"/>
      <c r="I244" s="51"/>
      <c r="J244" s="51"/>
    </row>
    <row r="245" customFormat="false" ht="15" hidden="false" customHeight="false" outlineLevel="0" collapsed="false">
      <c r="A245" s="65"/>
      <c r="B245" s="51"/>
      <c r="C245" s="51"/>
      <c r="D245" s="51"/>
      <c r="E245" s="60" t="str">
        <f aca="false">IF(D245="","",IFERROR(INDEX(Settings!$C$16:$C$45,MATCH(D245,Settings!$B$16:$B$45,0)),"Check category"))</f>
        <v/>
      </c>
      <c r="F245" s="76"/>
      <c r="G245" s="51"/>
      <c r="H245" s="51"/>
      <c r="I245" s="51"/>
      <c r="J245" s="51"/>
    </row>
    <row r="246" customFormat="false" ht="15" hidden="false" customHeight="false" outlineLevel="0" collapsed="false">
      <c r="A246" s="65"/>
      <c r="B246" s="51"/>
      <c r="C246" s="51"/>
      <c r="D246" s="51"/>
      <c r="E246" s="60" t="str">
        <f aca="false">IF(D246="","",IFERROR(INDEX(Settings!$C$16:$C$45,MATCH(D246,Settings!$B$16:$B$45,0)),"Check category"))</f>
        <v/>
      </c>
      <c r="F246" s="76"/>
      <c r="G246" s="51"/>
      <c r="H246" s="51"/>
      <c r="I246" s="51"/>
      <c r="J246" s="51"/>
    </row>
    <row r="247" customFormat="false" ht="15" hidden="false" customHeight="false" outlineLevel="0" collapsed="false">
      <c r="A247" s="65"/>
      <c r="B247" s="51"/>
      <c r="C247" s="51"/>
      <c r="D247" s="51"/>
      <c r="E247" s="60" t="str">
        <f aca="false">IF(D247="","",IFERROR(INDEX(Settings!$C$16:$C$45,MATCH(D247,Settings!$B$16:$B$45,0)),"Check category"))</f>
        <v/>
      </c>
      <c r="F247" s="76"/>
      <c r="G247" s="51"/>
      <c r="H247" s="51"/>
      <c r="I247" s="51"/>
      <c r="J247" s="51"/>
    </row>
    <row r="248" customFormat="false" ht="15" hidden="false" customHeight="false" outlineLevel="0" collapsed="false">
      <c r="A248" s="65"/>
      <c r="B248" s="51"/>
      <c r="C248" s="51"/>
      <c r="D248" s="51"/>
      <c r="E248" s="60" t="str">
        <f aca="false">IF(D248="","",IFERROR(INDEX(Settings!$C$16:$C$45,MATCH(D248,Settings!$B$16:$B$45,0)),"Check category"))</f>
        <v/>
      </c>
      <c r="F248" s="76"/>
      <c r="G248" s="51"/>
      <c r="H248" s="51"/>
      <c r="I248" s="51"/>
      <c r="J248" s="51"/>
    </row>
    <row r="249" customFormat="false" ht="15" hidden="false" customHeight="false" outlineLevel="0" collapsed="false">
      <c r="A249" s="65"/>
      <c r="B249" s="51"/>
      <c r="C249" s="51"/>
      <c r="D249" s="51"/>
      <c r="E249" s="60" t="str">
        <f aca="false">IF(D249="","",IFERROR(INDEX(Settings!$C$16:$C$45,MATCH(D249,Settings!$B$16:$B$45,0)),"Check category"))</f>
        <v/>
      </c>
      <c r="F249" s="76"/>
      <c r="G249" s="51"/>
      <c r="H249" s="51"/>
      <c r="I249" s="51"/>
      <c r="J249" s="51"/>
    </row>
    <row r="250" customFormat="false" ht="15" hidden="false" customHeight="false" outlineLevel="0" collapsed="false">
      <c r="A250" s="65"/>
      <c r="B250" s="51"/>
      <c r="C250" s="51"/>
      <c r="D250" s="51"/>
      <c r="E250" s="60" t="str">
        <f aca="false">IF(D250="","",IFERROR(INDEX(Settings!$C$16:$C$45,MATCH(D250,Settings!$B$16:$B$45,0)),"Check category"))</f>
        <v/>
      </c>
      <c r="F250" s="76"/>
      <c r="G250" s="51"/>
      <c r="H250" s="51"/>
      <c r="I250" s="51"/>
      <c r="J250" s="51"/>
    </row>
    <row r="251" customFormat="false" ht="15" hidden="false" customHeight="false" outlineLevel="0" collapsed="false">
      <c r="A251" s="65"/>
      <c r="B251" s="51"/>
      <c r="C251" s="51"/>
      <c r="D251" s="51"/>
      <c r="E251" s="60" t="str">
        <f aca="false">IF(D251="","",IFERROR(INDEX(Settings!$C$16:$C$45,MATCH(D251,Settings!$B$16:$B$45,0)),"Check category"))</f>
        <v/>
      </c>
      <c r="F251" s="76"/>
      <c r="G251" s="51"/>
      <c r="H251" s="51"/>
      <c r="I251" s="51"/>
      <c r="J251" s="51"/>
    </row>
    <row r="252" customFormat="false" ht="15" hidden="false" customHeight="false" outlineLevel="0" collapsed="false">
      <c r="A252" s="65"/>
      <c r="B252" s="51"/>
      <c r="C252" s="51"/>
      <c r="D252" s="51"/>
      <c r="E252" s="60" t="str">
        <f aca="false">IF(D252="","",IFERROR(INDEX(Settings!$C$16:$C$45,MATCH(D252,Settings!$B$16:$B$45,0)),"Check category"))</f>
        <v/>
      </c>
      <c r="F252" s="76"/>
      <c r="G252" s="51"/>
      <c r="H252" s="51"/>
      <c r="I252" s="51"/>
      <c r="J252" s="51"/>
    </row>
    <row r="253" customFormat="false" ht="15" hidden="false" customHeight="false" outlineLevel="0" collapsed="false">
      <c r="A253" s="65"/>
      <c r="B253" s="51"/>
      <c r="C253" s="51"/>
      <c r="D253" s="51"/>
      <c r="E253" s="60" t="str">
        <f aca="false">IF(D253="","",IFERROR(INDEX(Settings!$C$16:$C$45,MATCH(D253,Settings!$B$16:$B$45,0)),"Check category"))</f>
        <v/>
      </c>
      <c r="F253" s="76"/>
      <c r="G253" s="51"/>
      <c r="H253" s="51"/>
      <c r="I253" s="51"/>
      <c r="J253" s="51"/>
    </row>
    <row r="254" customFormat="false" ht="15" hidden="false" customHeight="false" outlineLevel="0" collapsed="false">
      <c r="A254" s="65"/>
      <c r="B254" s="51"/>
      <c r="C254" s="51"/>
      <c r="D254" s="51"/>
      <c r="E254" s="60" t="str">
        <f aca="false">IF(D254="","",IFERROR(INDEX(Settings!$C$16:$C$45,MATCH(D254,Settings!$B$16:$B$45,0)),"Check category"))</f>
        <v/>
      </c>
      <c r="F254" s="76"/>
      <c r="G254" s="51"/>
      <c r="H254" s="51"/>
      <c r="I254" s="51"/>
      <c r="J254" s="51"/>
    </row>
    <row r="255" customFormat="false" ht="15" hidden="false" customHeight="false" outlineLevel="0" collapsed="false">
      <c r="A255" s="65"/>
      <c r="B255" s="51"/>
      <c r="C255" s="51"/>
      <c r="D255" s="51"/>
      <c r="E255" s="60" t="str">
        <f aca="false">IF(D255="","",IFERROR(INDEX(Settings!$C$16:$C$45,MATCH(D255,Settings!$B$16:$B$45,0)),"Check category"))</f>
        <v/>
      </c>
      <c r="F255" s="76"/>
      <c r="G255" s="51"/>
      <c r="H255" s="51"/>
      <c r="I255" s="51"/>
      <c r="J255" s="51"/>
    </row>
    <row r="256" customFormat="false" ht="15" hidden="false" customHeight="false" outlineLevel="0" collapsed="false">
      <c r="A256" s="65"/>
      <c r="B256" s="51"/>
      <c r="C256" s="51"/>
      <c r="D256" s="51"/>
      <c r="E256" s="60" t="str">
        <f aca="false">IF(D256="","",IFERROR(INDEX(Settings!$C$16:$C$45,MATCH(D256,Settings!$B$16:$B$45,0)),"Check category"))</f>
        <v/>
      </c>
      <c r="F256" s="76"/>
      <c r="G256" s="51"/>
      <c r="H256" s="51"/>
      <c r="I256" s="51"/>
      <c r="J256" s="51"/>
    </row>
    <row r="257" customFormat="false" ht="15" hidden="false" customHeight="false" outlineLevel="0" collapsed="false">
      <c r="A257" s="65"/>
      <c r="B257" s="51"/>
      <c r="C257" s="51"/>
      <c r="D257" s="51"/>
      <c r="E257" s="60" t="str">
        <f aca="false">IF(D257="","",IFERROR(INDEX(Settings!$C$16:$C$45,MATCH(D257,Settings!$B$16:$B$45,0)),"Check category"))</f>
        <v/>
      </c>
      <c r="F257" s="76"/>
      <c r="G257" s="51"/>
      <c r="H257" s="51"/>
      <c r="I257" s="51"/>
      <c r="J257" s="51"/>
    </row>
    <row r="258" customFormat="false" ht="15" hidden="false" customHeight="false" outlineLevel="0" collapsed="false">
      <c r="A258" s="65"/>
      <c r="B258" s="51"/>
      <c r="C258" s="51"/>
      <c r="D258" s="51"/>
      <c r="E258" s="60" t="str">
        <f aca="false">IF(D258="","",IFERROR(INDEX(Settings!$C$16:$C$45,MATCH(D258,Settings!$B$16:$B$45,0)),"Check category"))</f>
        <v/>
      </c>
      <c r="F258" s="76"/>
      <c r="G258" s="51"/>
      <c r="H258" s="51"/>
      <c r="I258" s="51"/>
      <c r="J258" s="51"/>
    </row>
    <row r="259" customFormat="false" ht="15" hidden="false" customHeight="false" outlineLevel="0" collapsed="false">
      <c r="A259" s="65"/>
      <c r="B259" s="51"/>
      <c r="C259" s="51"/>
      <c r="D259" s="51"/>
      <c r="E259" s="60" t="str">
        <f aca="false">IF(D259="","",IFERROR(INDEX(Settings!$C$16:$C$45,MATCH(D259,Settings!$B$16:$B$45,0)),"Check category"))</f>
        <v/>
      </c>
      <c r="F259" s="76"/>
      <c r="G259" s="51"/>
      <c r="H259" s="51"/>
      <c r="I259" s="51"/>
      <c r="J259" s="51"/>
    </row>
    <row r="260" customFormat="false" ht="15" hidden="false" customHeight="false" outlineLevel="0" collapsed="false">
      <c r="A260" s="65"/>
      <c r="B260" s="51"/>
      <c r="C260" s="51"/>
      <c r="D260" s="51"/>
      <c r="E260" s="60" t="str">
        <f aca="false">IF(D260="","",IFERROR(INDEX(Settings!$C$16:$C$45,MATCH(D260,Settings!$B$16:$B$45,0)),"Check category"))</f>
        <v/>
      </c>
      <c r="F260" s="76"/>
      <c r="G260" s="51"/>
      <c r="H260" s="51"/>
      <c r="I260" s="51"/>
      <c r="J260" s="51"/>
    </row>
    <row r="261" customFormat="false" ht="15" hidden="false" customHeight="false" outlineLevel="0" collapsed="false">
      <c r="A261" s="65"/>
      <c r="B261" s="51"/>
      <c r="C261" s="51"/>
      <c r="D261" s="51"/>
      <c r="E261" s="60" t="str">
        <f aca="false">IF(D261="","",IFERROR(INDEX(Settings!$C$16:$C$45,MATCH(D261,Settings!$B$16:$B$45,0)),"Check category"))</f>
        <v/>
      </c>
      <c r="F261" s="76"/>
      <c r="G261" s="51"/>
      <c r="H261" s="51"/>
      <c r="I261" s="51"/>
      <c r="J261" s="51"/>
    </row>
    <row r="262" customFormat="false" ht="15" hidden="false" customHeight="false" outlineLevel="0" collapsed="false">
      <c r="A262" s="65"/>
      <c r="B262" s="51"/>
      <c r="C262" s="51"/>
      <c r="D262" s="51"/>
      <c r="E262" s="60" t="str">
        <f aca="false">IF(D262="","",IFERROR(INDEX(Settings!$C$16:$C$45,MATCH(D262,Settings!$B$16:$B$45,0)),"Check category"))</f>
        <v/>
      </c>
      <c r="F262" s="76"/>
      <c r="G262" s="51"/>
      <c r="H262" s="51"/>
      <c r="I262" s="51"/>
      <c r="J262" s="51"/>
    </row>
    <row r="263" customFormat="false" ht="15" hidden="false" customHeight="false" outlineLevel="0" collapsed="false">
      <c r="A263" s="65"/>
      <c r="B263" s="51"/>
      <c r="C263" s="51"/>
      <c r="D263" s="51"/>
      <c r="E263" s="60" t="str">
        <f aca="false">IF(D263="","",IFERROR(INDEX(Settings!$C$16:$C$45,MATCH(D263,Settings!$B$16:$B$45,0)),"Check category"))</f>
        <v/>
      </c>
      <c r="F263" s="76"/>
      <c r="G263" s="51"/>
      <c r="H263" s="51"/>
      <c r="I263" s="51"/>
      <c r="J263" s="51"/>
    </row>
    <row r="264" customFormat="false" ht="15" hidden="false" customHeight="false" outlineLevel="0" collapsed="false">
      <c r="A264" s="65"/>
      <c r="B264" s="51"/>
      <c r="C264" s="51"/>
      <c r="D264" s="51"/>
      <c r="E264" s="60" t="str">
        <f aca="false">IF(D264="","",IFERROR(INDEX(Settings!$C$16:$C$45,MATCH(D264,Settings!$B$16:$B$45,0)),"Check category"))</f>
        <v/>
      </c>
      <c r="F264" s="76"/>
      <c r="G264" s="51"/>
      <c r="H264" s="51"/>
      <c r="I264" s="51"/>
      <c r="J264" s="51"/>
    </row>
    <row r="265" customFormat="false" ht="15" hidden="false" customHeight="false" outlineLevel="0" collapsed="false">
      <c r="A265" s="65"/>
      <c r="B265" s="51"/>
      <c r="C265" s="51"/>
      <c r="D265" s="51"/>
      <c r="E265" s="60" t="str">
        <f aca="false">IF(D265="","",IFERROR(INDEX(Settings!$C$16:$C$45,MATCH(D265,Settings!$B$16:$B$45,0)),"Check category"))</f>
        <v/>
      </c>
      <c r="F265" s="76"/>
      <c r="G265" s="51"/>
      <c r="H265" s="51"/>
      <c r="I265" s="51"/>
      <c r="J265" s="51"/>
    </row>
    <row r="266" customFormat="false" ht="15" hidden="false" customHeight="false" outlineLevel="0" collapsed="false">
      <c r="A266" s="65"/>
      <c r="B266" s="51"/>
      <c r="C266" s="51"/>
      <c r="D266" s="51"/>
      <c r="E266" s="60" t="str">
        <f aca="false">IF(D266="","",IFERROR(INDEX(Settings!$C$16:$C$45,MATCH(D266,Settings!$B$16:$B$45,0)),"Check category"))</f>
        <v/>
      </c>
      <c r="F266" s="76"/>
      <c r="G266" s="51"/>
      <c r="H266" s="51"/>
      <c r="I266" s="51"/>
      <c r="J266" s="51"/>
    </row>
    <row r="267" customFormat="false" ht="15" hidden="false" customHeight="false" outlineLevel="0" collapsed="false">
      <c r="A267" s="65"/>
      <c r="B267" s="51"/>
      <c r="C267" s="51"/>
      <c r="D267" s="51"/>
      <c r="E267" s="60" t="str">
        <f aca="false">IF(D267="","",IFERROR(INDEX(Settings!$C$16:$C$45,MATCH(D267,Settings!$B$16:$B$45,0)),"Check category"))</f>
        <v/>
      </c>
      <c r="F267" s="76"/>
      <c r="G267" s="51"/>
      <c r="H267" s="51"/>
      <c r="I267" s="51"/>
      <c r="J267" s="51"/>
    </row>
    <row r="268" customFormat="false" ht="15" hidden="false" customHeight="false" outlineLevel="0" collapsed="false">
      <c r="A268" s="65"/>
      <c r="B268" s="51"/>
      <c r="C268" s="51"/>
      <c r="D268" s="51"/>
      <c r="E268" s="60" t="str">
        <f aca="false">IF(D268="","",IFERROR(INDEX(Settings!$C$16:$C$45,MATCH(D268,Settings!$B$16:$B$45,0)),"Check category"))</f>
        <v/>
      </c>
      <c r="F268" s="76"/>
      <c r="G268" s="51"/>
      <c r="H268" s="51"/>
      <c r="I268" s="51"/>
      <c r="J268" s="51"/>
    </row>
    <row r="269" customFormat="false" ht="15" hidden="false" customHeight="false" outlineLevel="0" collapsed="false">
      <c r="A269" s="65"/>
      <c r="B269" s="51"/>
      <c r="C269" s="51"/>
      <c r="D269" s="51"/>
      <c r="E269" s="60" t="str">
        <f aca="false">IF(D269="","",IFERROR(INDEX(Settings!$C$16:$C$45,MATCH(D269,Settings!$B$16:$B$45,0)),"Check category"))</f>
        <v/>
      </c>
      <c r="F269" s="76"/>
      <c r="G269" s="51"/>
      <c r="H269" s="51"/>
      <c r="I269" s="51"/>
      <c r="J269" s="51"/>
    </row>
    <row r="270" customFormat="false" ht="15" hidden="false" customHeight="false" outlineLevel="0" collapsed="false">
      <c r="A270" s="65"/>
      <c r="B270" s="51"/>
      <c r="C270" s="51"/>
      <c r="D270" s="51"/>
      <c r="E270" s="60" t="str">
        <f aca="false">IF(D270="","",IFERROR(INDEX(Settings!$C$16:$C$45,MATCH(D270,Settings!$B$16:$B$45,0)),"Check category"))</f>
        <v/>
      </c>
      <c r="F270" s="76"/>
      <c r="G270" s="51"/>
      <c r="H270" s="51"/>
      <c r="I270" s="51"/>
      <c r="J270" s="51"/>
    </row>
    <row r="271" customFormat="false" ht="15" hidden="false" customHeight="false" outlineLevel="0" collapsed="false">
      <c r="A271" s="65"/>
      <c r="B271" s="51"/>
      <c r="C271" s="51"/>
      <c r="D271" s="51"/>
      <c r="E271" s="60" t="str">
        <f aca="false">IF(D271="","",IFERROR(INDEX(Settings!$C$16:$C$45,MATCH(D271,Settings!$B$16:$B$45,0)),"Check category"))</f>
        <v/>
      </c>
      <c r="F271" s="76"/>
      <c r="G271" s="51"/>
      <c r="H271" s="51"/>
      <c r="I271" s="51"/>
      <c r="J271" s="51"/>
    </row>
    <row r="272" customFormat="false" ht="15" hidden="false" customHeight="false" outlineLevel="0" collapsed="false">
      <c r="A272" s="65"/>
      <c r="B272" s="51"/>
      <c r="C272" s="51"/>
      <c r="D272" s="51"/>
      <c r="E272" s="60" t="str">
        <f aca="false">IF(D272="","",IFERROR(INDEX(Settings!$C$16:$C$45,MATCH(D272,Settings!$B$16:$B$45,0)),"Check category"))</f>
        <v/>
      </c>
      <c r="F272" s="76"/>
      <c r="G272" s="51"/>
      <c r="H272" s="51"/>
      <c r="I272" s="51"/>
      <c r="J272" s="51"/>
    </row>
    <row r="273" customFormat="false" ht="15" hidden="false" customHeight="false" outlineLevel="0" collapsed="false">
      <c r="A273" s="65"/>
      <c r="B273" s="51"/>
      <c r="C273" s="51"/>
      <c r="D273" s="51"/>
      <c r="E273" s="60" t="str">
        <f aca="false">IF(D273="","",IFERROR(INDEX(Settings!$C$16:$C$45,MATCH(D273,Settings!$B$16:$B$45,0)),"Check category"))</f>
        <v/>
      </c>
      <c r="F273" s="76"/>
      <c r="G273" s="51"/>
      <c r="H273" s="51"/>
      <c r="I273" s="51"/>
      <c r="J273" s="51"/>
    </row>
    <row r="274" customFormat="false" ht="15" hidden="false" customHeight="false" outlineLevel="0" collapsed="false">
      <c r="A274" s="65"/>
      <c r="B274" s="51"/>
      <c r="C274" s="51"/>
      <c r="D274" s="51"/>
      <c r="E274" s="60" t="str">
        <f aca="false">IF(D274="","",IFERROR(INDEX(Settings!$C$16:$C$45,MATCH(D274,Settings!$B$16:$B$45,0)),"Check category"))</f>
        <v/>
      </c>
      <c r="F274" s="76"/>
      <c r="G274" s="51"/>
      <c r="H274" s="51"/>
      <c r="I274" s="51"/>
      <c r="J274" s="51"/>
    </row>
    <row r="275" customFormat="false" ht="15" hidden="false" customHeight="false" outlineLevel="0" collapsed="false">
      <c r="A275" s="65"/>
      <c r="B275" s="51"/>
      <c r="C275" s="51"/>
      <c r="D275" s="51"/>
      <c r="E275" s="60" t="str">
        <f aca="false">IF(D275="","",IFERROR(INDEX(Settings!$C$16:$C$45,MATCH(D275,Settings!$B$16:$B$45,0)),"Check category"))</f>
        <v/>
      </c>
      <c r="F275" s="76"/>
      <c r="G275" s="51"/>
      <c r="H275" s="51"/>
      <c r="I275" s="51"/>
      <c r="J275" s="51"/>
    </row>
    <row r="276" customFormat="false" ht="15" hidden="false" customHeight="false" outlineLevel="0" collapsed="false">
      <c r="A276" s="65"/>
      <c r="B276" s="51"/>
      <c r="C276" s="51"/>
      <c r="D276" s="51"/>
      <c r="E276" s="60" t="str">
        <f aca="false">IF(D276="","",IFERROR(INDEX(Settings!$C$16:$C$45,MATCH(D276,Settings!$B$16:$B$45,0)),"Check category"))</f>
        <v/>
      </c>
      <c r="F276" s="76"/>
      <c r="G276" s="51"/>
      <c r="H276" s="51"/>
      <c r="I276" s="51"/>
      <c r="J276" s="51"/>
    </row>
    <row r="277" customFormat="false" ht="15" hidden="false" customHeight="false" outlineLevel="0" collapsed="false">
      <c r="A277" s="65"/>
      <c r="B277" s="51"/>
      <c r="C277" s="51"/>
      <c r="D277" s="51"/>
      <c r="E277" s="60" t="str">
        <f aca="false">IF(D277="","",IFERROR(INDEX(Settings!$C$16:$C$45,MATCH(D277,Settings!$B$16:$B$45,0)),"Check category"))</f>
        <v/>
      </c>
      <c r="F277" s="76"/>
      <c r="G277" s="51"/>
      <c r="H277" s="51"/>
      <c r="I277" s="51"/>
      <c r="J277" s="51"/>
    </row>
    <row r="278" customFormat="false" ht="15" hidden="false" customHeight="false" outlineLevel="0" collapsed="false">
      <c r="A278" s="65"/>
      <c r="B278" s="51"/>
      <c r="C278" s="51"/>
      <c r="D278" s="51"/>
      <c r="E278" s="60" t="str">
        <f aca="false">IF(D278="","",IFERROR(INDEX(Settings!$C$16:$C$45,MATCH(D278,Settings!$B$16:$B$45,0)),"Check category"))</f>
        <v/>
      </c>
      <c r="F278" s="76"/>
      <c r="G278" s="51"/>
      <c r="H278" s="51"/>
      <c r="I278" s="51"/>
      <c r="J278" s="51"/>
    </row>
    <row r="279" customFormat="false" ht="15" hidden="false" customHeight="false" outlineLevel="0" collapsed="false">
      <c r="A279" s="65"/>
      <c r="B279" s="51"/>
      <c r="C279" s="51"/>
      <c r="D279" s="51"/>
      <c r="E279" s="60" t="str">
        <f aca="false">IF(D279="","",IFERROR(INDEX(Settings!$C$16:$C$45,MATCH(D279,Settings!$B$16:$B$45,0)),"Check category"))</f>
        <v/>
      </c>
      <c r="F279" s="76"/>
      <c r="G279" s="51"/>
      <c r="H279" s="51"/>
      <c r="I279" s="51"/>
      <c r="J279" s="51"/>
    </row>
    <row r="280" customFormat="false" ht="15" hidden="false" customHeight="false" outlineLevel="0" collapsed="false">
      <c r="A280" s="65"/>
      <c r="B280" s="51"/>
      <c r="C280" s="51"/>
      <c r="D280" s="51"/>
      <c r="E280" s="60" t="str">
        <f aca="false">IF(D280="","",IFERROR(INDEX(Settings!$C$16:$C$45,MATCH(D280,Settings!$B$16:$B$45,0)),"Check category"))</f>
        <v/>
      </c>
      <c r="F280" s="76"/>
      <c r="G280" s="51"/>
      <c r="H280" s="51"/>
      <c r="I280" s="51"/>
      <c r="J280" s="51"/>
    </row>
    <row r="281" customFormat="false" ht="15" hidden="false" customHeight="false" outlineLevel="0" collapsed="false">
      <c r="A281" s="65"/>
      <c r="B281" s="51"/>
      <c r="C281" s="51"/>
      <c r="D281" s="51"/>
      <c r="E281" s="60" t="str">
        <f aca="false">IF(D281="","",IFERROR(INDEX(Settings!$C$16:$C$45,MATCH(D281,Settings!$B$16:$B$45,0)),"Check category"))</f>
        <v/>
      </c>
      <c r="F281" s="76"/>
      <c r="G281" s="51"/>
      <c r="H281" s="51"/>
      <c r="I281" s="51"/>
      <c r="J281" s="51"/>
    </row>
    <row r="282" customFormat="false" ht="15" hidden="false" customHeight="false" outlineLevel="0" collapsed="false">
      <c r="A282" s="65"/>
      <c r="B282" s="51"/>
      <c r="C282" s="51"/>
      <c r="D282" s="51"/>
      <c r="E282" s="60" t="str">
        <f aca="false">IF(D282="","",IFERROR(INDEX(Settings!$C$16:$C$45,MATCH(D282,Settings!$B$16:$B$45,0)),"Check category"))</f>
        <v/>
      </c>
      <c r="F282" s="76"/>
      <c r="G282" s="51"/>
      <c r="H282" s="51"/>
      <c r="I282" s="51"/>
      <c r="J282" s="51"/>
    </row>
    <row r="283" customFormat="false" ht="15" hidden="false" customHeight="false" outlineLevel="0" collapsed="false">
      <c r="A283" s="65"/>
      <c r="B283" s="51"/>
      <c r="C283" s="51"/>
      <c r="D283" s="51"/>
      <c r="E283" s="60" t="str">
        <f aca="false">IF(D283="","",IFERROR(INDEX(Settings!$C$16:$C$45,MATCH(D283,Settings!$B$16:$B$45,0)),"Check category"))</f>
        <v/>
      </c>
      <c r="F283" s="76"/>
      <c r="G283" s="51"/>
      <c r="H283" s="51"/>
      <c r="I283" s="51"/>
      <c r="J283" s="51"/>
    </row>
    <row r="284" customFormat="false" ht="15" hidden="false" customHeight="false" outlineLevel="0" collapsed="false">
      <c r="A284" s="65"/>
      <c r="B284" s="51"/>
      <c r="C284" s="51"/>
      <c r="D284" s="51"/>
      <c r="E284" s="60" t="str">
        <f aca="false">IF(D284="","",IFERROR(INDEX(Settings!$C$16:$C$45,MATCH(D284,Settings!$B$16:$B$45,0)),"Check category"))</f>
        <v/>
      </c>
      <c r="F284" s="76"/>
      <c r="G284" s="51"/>
      <c r="H284" s="51"/>
      <c r="I284" s="51"/>
      <c r="J284" s="51"/>
    </row>
    <row r="285" customFormat="false" ht="15" hidden="false" customHeight="false" outlineLevel="0" collapsed="false">
      <c r="A285" s="65"/>
      <c r="B285" s="51"/>
      <c r="C285" s="51"/>
      <c r="D285" s="51"/>
      <c r="E285" s="60" t="str">
        <f aca="false">IF(D285="","",IFERROR(INDEX(Settings!$C$16:$C$45,MATCH(D285,Settings!$B$16:$B$45,0)),"Check category"))</f>
        <v/>
      </c>
      <c r="F285" s="76"/>
      <c r="G285" s="51"/>
      <c r="H285" s="51"/>
      <c r="I285" s="51"/>
      <c r="J285" s="51"/>
    </row>
    <row r="286" customFormat="false" ht="15" hidden="false" customHeight="false" outlineLevel="0" collapsed="false">
      <c r="A286" s="65"/>
      <c r="B286" s="51"/>
      <c r="C286" s="51"/>
      <c r="D286" s="51"/>
      <c r="E286" s="60" t="str">
        <f aca="false">IF(D286="","",IFERROR(INDEX(Settings!$C$16:$C$45,MATCH(D286,Settings!$B$16:$B$45,0)),"Check category"))</f>
        <v/>
      </c>
      <c r="F286" s="76"/>
      <c r="G286" s="51"/>
      <c r="H286" s="51"/>
      <c r="I286" s="51"/>
      <c r="J286" s="51"/>
    </row>
    <row r="287" customFormat="false" ht="15" hidden="false" customHeight="false" outlineLevel="0" collapsed="false">
      <c r="A287" s="65"/>
      <c r="B287" s="51"/>
      <c r="C287" s="51"/>
      <c r="D287" s="51"/>
      <c r="E287" s="60" t="str">
        <f aca="false">IF(D287="","",IFERROR(INDEX(Settings!$C$16:$C$45,MATCH(D287,Settings!$B$16:$B$45,0)),"Check category"))</f>
        <v/>
      </c>
      <c r="F287" s="76"/>
      <c r="G287" s="51"/>
      <c r="H287" s="51"/>
      <c r="I287" s="51"/>
      <c r="J287" s="51"/>
    </row>
    <row r="288" customFormat="false" ht="15" hidden="false" customHeight="false" outlineLevel="0" collapsed="false">
      <c r="A288" s="65"/>
      <c r="B288" s="51"/>
      <c r="C288" s="51"/>
      <c r="D288" s="51"/>
      <c r="E288" s="60" t="str">
        <f aca="false">IF(D288="","",IFERROR(INDEX(Settings!$C$16:$C$45,MATCH(D288,Settings!$B$16:$B$45,0)),"Check category"))</f>
        <v/>
      </c>
      <c r="F288" s="76"/>
      <c r="G288" s="51"/>
      <c r="H288" s="51"/>
      <c r="I288" s="51"/>
      <c r="J288" s="51"/>
    </row>
    <row r="289" customFormat="false" ht="15" hidden="false" customHeight="false" outlineLevel="0" collapsed="false">
      <c r="A289" s="65"/>
      <c r="B289" s="51"/>
      <c r="C289" s="51"/>
      <c r="D289" s="51"/>
      <c r="E289" s="60" t="str">
        <f aca="false">IF(D289="","",IFERROR(INDEX(Settings!$C$16:$C$45,MATCH(D289,Settings!$B$16:$B$45,0)),"Check category"))</f>
        <v/>
      </c>
      <c r="F289" s="76"/>
      <c r="G289" s="51"/>
      <c r="H289" s="51"/>
      <c r="I289" s="51"/>
      <c r="J289" s="51"/>
    </row>
    <row r="290" customFormat="false" ht="15" hidden="false" customHeight="false" outlineLevel="0" collapsed="false">
      <c r="A290" s="65"/>
      <c r="B290" s="51"/>
      <c r="C290" s="51"/>
      <c r="D290" s="51"/>
      <c r="E290" s="60" t="str">
        <f aca="false">IF(D290="","",IFERROR(INDEX(Settings!$C$16:$C$45,MATCH(D290,Settings!$B$16:$B$45,0)),"Check category"))</f>
        <v/>
      </c>
      <c r="F290" s="76"/>
      <c r="G290" s="51"/>
      <c r="H290" s="51"/>
      <c r="I290" s="51"/>
      <c r="J290" s="51"/>
    </row>
    <row r="291" customFormat="false" ht="15" hidden="false" customHeight="false" outlineLevel="0" collapsed="false">
      <c r="A291" s="65"/>
      <c r="B291" s="51"/>
      <c r="C291" s="51"/>
      <c r="D291" s="51"/>
      <c r="E291" s="60" t="str">
        <f aca="false">IF(D291="","",IFERROR(INDEX(Settings!$C$16:$C$45,MATCH(D291,Settings!$B$16:$B$45,0)),"Check category"))</f>
        <v/>
      </c>
      <c r="F291" s="76"/>
      <c r="G291" s="51"/>
      <c r="H291" s="51"/>
      <c r="I291" s="51"/>
      <c r="J291" s="51"/>
    </row>
    <row r="292" customFormat="false" ht="15" hidden="false" customHeight="false" outlineLevel="0" collapsed="false">
      <c r="A292" s="65"/>
      <c r="B292" s="51"/>
      <c r="C292" s="51"/>
      <c r="D292" s="51"/>
      <c r="E292" s="60" t="str">
        <f aca="false">IF(D292="","",IFERROR(INDEX(Settings!$C$16:$C$45,MATCH(D292,Settings!$B$16:$B$45,0)),"Check category"))</f>
        <v/>
      </c>
      <c r="F292" s="76"/>
      <c r="G292" s="51"/>
      <c r="H292" s="51"/>
      <c r="I292" s="51"/>
      <c r="J292" s="51"/>
    </row>
    <row r="293" customFormat="false" ht="15" hidden="false" customHeight="false" outlineLevel="0" collapsed="false">
      <c r="A293" s="65"/>
      <c r="B293" s="51"/>
      <c r="C293" s="51"/>
      <c r="D293" s="51"/>
      <c r="E293" s="60" t="str">
        <f aca="false">IF(D293="","",IFERROR(INDEX(Settings!$C$16:$C$45,MATCH(D293,Settings!$B$16:$B$45,0)),"Check category"))</f>
        <v/>
      </c>
      <c r="F293" s="76"/>
      <c r="G293" s="51"/>
      <c r="H293" s="51"/>
      <c r="I293" s="51"/>
      <c r="J293" s="51"/>
    </row>
    <row r="294" customFormat="false" ht="15" hidden="false" customHeight="false" outlineLevel="0" collapsed="false">
      <c r="A294" s="65"/>
      <c r="B294" s="51"/>
      <c r="C294" s="51"/>
      <c r="D294" s="51"/>
      <c r="E294" s="60" t="str">
        <f aca="false">IF(D294="","",IFERROR(INDEX(Settings!$C$16:$C$45,MATCH(D294,Settings!$B$16:$B$45,0)),"Check category"))</f>
        <v/>
      </c>
      <c r="F294" s="76"/>
      <c r="G294" s="51"/>
      <c r="H294" s="51"/>
      <c r="I294" s="51"/>
      <c r="J294" s="51"/>
    </row>
    <row r="295" customFormat="false" ht="15" hidden="false" customHeight="false" outlineLevel="0" collapsed="false">
      <c r="A295" s="65"/>
      <c r="B295" s="51"/>
      <c r="C295" s="51"/>
      <c r="D295" s="51"/>
      <c r="E295" s="60" t="str">
        <f aca="false">IF(D295="","",IFERROR(INDEX(Settings!$C$16:$C$45,MATCH(D295,Settings!$B$16:$B$45,0)),"Check category"))</f>
        <v/>
      </c>
      <c r="F295" s="76"/>
      <c r="G295" s="51"/>
      <c r="H295" s="51"/>
      <c r="I295" s="51"/>
      <c r="J295" s="51"/>
    </row>
    <row r="296" customFormat="false" ht="15" hidden="false" customHeight="false" outlineLevel="0" collapsed="false">
      <c r="A296" s="65"/>
      <c r="B296" s="51"/>
      <c r="C296" s="51"/>
      <c r="D296" s="51"/>
      <c r="E296" s="60" t="str">
        <f aca="false">IF(D296="","",IFERROR(INDEX(Settings!$C$16:$C$45,MATCH(D296,Settings!$B$16:$B$45,0)),"Check category"))</f>
        <v/>
      </c>
      <c r="F296" s="76"/>
      <c r="G296" s="51"/>
      <c r="H296" s="51"/>
      <c r="I296" s="51"/>
      <c r="J296" s="51"/>
    </row>
    <row r="297" customFormat="false" ht="15" hidden="false" customHeight="false" outlineLevel="0" collapsed="false">
      <c r="A297" s="65"/>
      <c r="B297" s="51"/>
      <c r="C297" s="51"/>
      <c r="D297" s="51"/>
      <c r="E297" s="60" t="str">
        <f aca="false">IF(D297="","",IFERROR(INDEX(Settings!$C$16:$C$45,MATCH(D297,Settings!$B$16:$B$45,0)),"Check category"))</f>
        <v/>
      </c>
      <c r="F297" s="76"/>
      <c r="G297" s="51"/>
      <c r="H297" s="51"/>
      <c r="I297" s="51"/>
      <c r="J297" s="51"/>
    </row>
    <row r="298" customFormat="false" ht="15" hidden="false" customHeight="false" outlineLevel="0" collapsed="false">
      <c r="A298" s="65"/>
      <c r="B298" s="51"/>
      <c r="C298" s="51"/>
      <c r="D298" s="51"/>
      <c r="E298" s="60" t="str">
        <f aca="false">IF(D298="","",IFERROR(INDEX(Settings!$C$16:$C$45,MATCH(D298,Settings!$B$16:$B$45,0)),"Check category"))</f>
        <v/>
      </c>
      <c r="F298" s="76"/>
      <c r="G298" s="51"/>
      <c r="H298" s="51"/>
      <c r="I298" s="51"/>
      <c r="J298" s="51"/>
    </row>
    <row r="299" customFormat="false" ht="15" hidden="false" customHeight="false" outlineLevel="0" collapsed="false">
      <c r="A299" s="65"/>
      <c r="B299" s="51"/>
      <c r="C299" s="51"/>
      <c r="D299" s="51"/>
      <c r="E299" s="60" t="str">
        <f aca="false">IF(D299="","",IFERROR(INDEX(Settings!$C$16:$C$45,MATCH(D299,Settings!$B$16:$B$45,0)),"Check category"))</f>
        <v/>
      </c>
      <c r="F299" s="76"/>
      <c r="G299" s="51"/>
      <c r="H299" s="51"/>
      <c r="I299" s="51"/>
      <c r="J299" s="51"/>
    </row>
    <row r="300" customFormat="false" ht="15" hidden="false" customHeight="false" outlineLevel="0" collapsed="false">
      <c r="A300" s="65"/>
      <c r="B300" s="51"/>
      <c r="C300" s="51"/>
      <c r="D300" s="51"/>
      <c r="E300" s="60" t="str">
        <f aca="false">IF(D300="","",IFERROR(INDEX(Settings!$C$16:$C$45,MATCH(D300,Settings!$B$16:$B$45,0)),"Check category"))</f>
        <v/>
      </c>
      <c r="F300" s="76"/>
      <c r="G300" s="51"/>
      <c r="H300" s="51"/>
      <c r="I300" s="51"/>
      <c r="J300" s="51"/>
    </row>
    <row r="301" customFormat="false" ht="15" hidden="false" customHeight="false" outlineLevel="0" collapsed="false">
      <c r="A301" s="65"/>
      <c r="B301" s="51"/>
      <c r="C301" s="51"/>
      <c r="D301" s="51"/>
      <c r="E301" s="60" t="str">
        <f aca="false">IF(D301="","",IFERROR(INDEX(Settings!$C$16:$C$45,MATCH(D301,Settings!$B$16:$B$45,0)),"Check category"))</f>
        <v/>
      </c>
      <c r="F301" s="76"/>
      <c r="G301" s="51"/>
      <c r="H301" s="51"/>
      <c r="I301" s="51"/>
      <c r="J301" s="51"/>
    </row>
    <row r="302" customFormat="false" ht="15" hidden="false" customHeight="false" outlineLevel="0" collapsed="false">
      <c r="A302" s="65"/>
      <c r="B302" s="51"/>
      <c r="C302" s="51"/>
      <c r="D302" s="51"/>
      <c r="E302" s="60" t="str">
        <f aca="false">IF(D302="","",IFERROR(INDEX(Settings!$C$16:$C$45,MATCH(D302,Settings!$B$16:$B$45,0)),"Check category"))</f>
        <v/>
      </c>
      <c r="F302" s="76"/>
      <c r="G302" s="51"/>
      <c r="H302" s="51"/>
      <c r="I302" s="51"/>
      <c r="J302" s="51"/>
    </row>
    <row r="303" customFormat="false" ht="15" hidden="false" customHeight="false" outlineLevel="0" collapsed="false">
      <c r="A303" s="65"/>
      <c r="B303" s="51"/>
      <c r="C303" s="51"/>
      <c r="D303" s="51"/>
      <c r="E303" s="60" t="str">
        <f aca="false">IF(D303="","",IFERROR(INDEX(Settings!$C$16:$C$45,MATCH(D303,Settings!$B$16:$B$45,0)),"Check category"))</f>
        <v/>
      </c>
      <c r="F303" s="76"/>
      <c r="G303" s="51"/>
      <c r="H303" s="51"/>
      <c r="I303" s="51"/>
      <c r="J303" s="51"/>
    </row>
    <row r="304" customFormat="false" ht="15" hidden="false" customHeight="false" outlineLevel="0" collapsed="false">
      <c r="A304" s="65"/>
      <c r="B304" s="51"/>
      <c r="C304" s="51"/>
      <c r="D304" s="51"/>
      <c r="E304" s="60" t="str">
        <f aca="false">IF(D304="","",IFERROR(INDEX(Settings!$C$16:$C$45,MATCH(D304,Settings!$B$16:$B$45,0)),"Check category"))</f>
        <v/>
      </c>
      <c r="F304" s="76"/>
      <c r="G304" s="51"/>
      <c r="H304" s="51"/>
      <c r="I304" s="51"/>
      <c r="J304" s="51"/>
    </row>
    <row r="305" customFormat="false" ht="15" hidden="false" customHeight="false" outlineLevel="0" collapsed="false">
      <c r="A305" s="65"/>
      <c r="B305" s="51"/>
      <c r="C305" s="51"/>
      <c r="D305" s="51"/>
      <c r="E305" s="60" t="str">
        <f aca="false">IF(D305="","",IFERROR(INDEX(Settings!$C$16:$C$45,MATCH(D305,Settings!$B$16:$B$45,0)),"Check category"))</f>
        <v/>
      </c>
      <c r="F305" s="76"/>
      <c r="G305" s="51"/>
      <c r="H305" s="51"/>
      <c r="I305" s="51"/>
      <c r="J305" s="51"/>
    </row>
    <row r="306" customFormat="false" ht="15" hidden="false" customHeight="false" outlineLevel="0" collapsed="false">
      <c r="A306" s="65"/>
      <c r="B306" s="51"/>
      <c r="C306" s="51"/>
      <c r="D306" s="51"/>
      <c r="E306" s="60" t="str">
        <f aca="false">IF(D306="","",IFERROR(INDEX(Settings!$C$16:$C$45,MATCH(D306,Settings!$B$16:$B$45,0)),"Check category"))</f>
        <v/>
      </c>
      <c r="F306" s="76"/>
      <c r="G306" s="51"/>
      <c r="H306" s="51"/>
      <c r="I306" s="51"/>
      <c r="J306" s="51"/>
    </row>
    <row r="307" customFormat="false" ht="15" hidden="false" customHeight="false" outlineLevel="0" collapsed="false">
      <c r="A307" s="65"/>
      <c r="B307" s="51"/>
      <c r="C307" s="51"/>
      <c r="D307" s="51"/>
      <c r="E307" s="60" t="str">
        <f aca="false">IF(D307="","",IFERROR(INDEX(Settings!$C$16:$C$45,MATCH(D307,Settings!$B$16:$B$45,0)),"Check category"))</f>
        <v/>
      </c>
      <c r="F307" s="76"/>
      <c r="G307" s="51"/>
      <c r="H307" s="51"/>
      <c r="I307" s="51"/>
      <c r="J307" s="51"/>
    </row>
    <row r="308" customFormat="false" ht="15" hidden="false" customHeight="false" outlineLevel="0" collapsed="false">
      <c r="A308" s="65"/>
      <c r="B308" s="51"/>
      <c r="C308" s="51"/>
      <c r="D308" s="51"/>
      <c r="E308" s="60" t="str">
        <f aca="false">IF(D308="","",IFERROR(INDEX(Settings!$C$16:$C$45,MATCH(D308,Settings!$B$16:$B$45,0)),"Check category"))</f>
        <v/>
      </c>
      <c r="F308" s="76"/>
      <c r="G308" s="51"/>
      <c r="H308" s="51"/>
      <c r="I308" s="51"/>
      <c r="J308" s="51"/>
    </row>
    <row r="309" customFormat="false" ht="15" hidden="false" customHeight="false" outlineLevel="0" collapsed="false">
      <c r="A309" s="65"/>
      <c r="B309" s="51"/>
      <c r="C309" s="51"/>
      <c r="D309" s="51"/>
      <c r="E309" s="60" t="str">
        <f aca="false">IF(D309="","",IFERROR(INDEX(Settings!$C$16:$C$45,MATCH(D309,Settings!$B$16:$B$45,0)),"Check category"))</f>
        <v/>
      </c>
      <c r="F309" s="76"/>
      <c r="G309" s="51"/>
      <c r="H309" s="51"/>
      <c r="I309" s="51"/>
      <c r="J309" s="51"/>
    </row>
    <row r="310" customFormat="false" ht="15" hidden="false" customHeight="false" outlineLevel="0" collapsed="false">
      <c r="A310" s="65"/>
      <c r="B310" s="51"/>
      <c r="C310" s="51"/>
      <c r="D310" s="51"/>
      <c r="E310" s="60" t="str">
        <f aca="false">IF(D310="","",IFERROR(INDEX(Settings!$C$16:$C$45,MATCH(D310,Settings!$B$16:$B$45,0)),"Check category"))</f>
        <v/>
      </c>
      <c r="F310" s="76"/>
      <c r="G310" s="51"/>
      <c r="H310" s="51"/>
      <c r="I310" s="51"/>
      <c r="J310" s="51"/>
    </row>
    <row r="311" customFormat="false" ht="15" hidden="false" customHeight="false" outlineLevel="0" collapsed="false">
      <c r="A311" s="65"/>
      <c r="B311" s="51"/>
      <c r="C311" s="51"/>
      <c r="D311" s="51"/>
      <c r="E311" s="60" t="str">
        <f aca="false">IF(D311="","",IFERROR(INDEX(Settings!$C$16:$C$45,MATCH(D311,Settings!$B$16:$B$45,0)),"Check category"))</f>
        <v/>
      </c>
      <c r="F311" s="76"/>
      <c r="G311" s="51"/>
      <c r="H311" s="51"/>
      <c r="I311" s="51"/>
      <c r="J311" s="51"/>
    </row>
    <row r="312" customFormat="false" ht="15" hidden="false" customHeight="false" outlineLevel="0" collapsed="false">
      <c r="A312" s="65"/>
      <c r="B312" s="51"/>
      <c r="C312" s="51"/>
      <c r="D312" s="51"/>
      <c r="E312" s="60" t="str">
        <f aca="false">IF(D312="","",IFERROR(INDEX(Settings!$C$16:$C$45,MATCH(D312,Settings!$B$16:$B$45,0)),"Check category"))</f>
        <v/>
      </c>
      <c r="F312" s="76"/>
      <c r="G312" s="51"/>
      <c r="H312" s="51"/>
      <c r="I312" s="51"/>
      <c r="J312" s="51"/>
    </row>
    <row r="313" customFormat="false" ht="15" hidden="false" customHeight="false" outlineLevel="0" collapsed="false">
      <c r="A313" s="65"/>
      <c r="B313" s="51"/>
      <c r="C313" s="51"/>
      <c r="D313" s="51"/>
      <c r="E313" s="60" t="str">
        <f aca="false">IF(D313="","",IFERROR(INDEX(Settings!$C$16:$C$45,MATCH(D313,Settings!$B$16:$B$45,0)),"Check category"))</f>
        <v/>
      </c>
      <c r="F313" s="76"/>
      <c r="G313" s="51"/>
      <c r="H313" s="51"/>
      <c r="I313" s="51"/>
      <c r="J313" s="51"/>
    </row>
    <row r="314" customFormat="false" ht="15" hidden="false" customHeight="false" outlineLevel="0" collapsed="false">
      <c r="A314" s="65"/>
      <c r="B314" s="51"/>
      <c r="C314" s="51"/>
      <c r="D314" s="51"/>
      <c r="E314" s="60" t="str">
        <f aca="false">IF(D314="","",IFERROR(INDEX(Settings!$C$16:$C$45,MATCH(D314,Settings!$B$16:$B$45,0)),"Check category"))</f>
        <v/>
      </c>
      <c r="F314" s="76"/>
      <c r="G314" s="51"/>
      <c r="H314" s="51"/>
      <c r="I314" s="51"/>
      <c r="J314" s="51"/>
    </row>
    <row r="315" customFormat="false" ht="15" hidden="false" customHeight="false" outlineLevel="0" collapsed="false">
      <c r="A315" s="65"/>
      <c r="B315" s="51"/>
      <c r="C315" s="51"/>
      <c r="D315" s="51"/>
      <c r="E315" s="60" t="str">
        <f aca="false">IF(D315="","",IFERROR(INDEX(Settings!$C$16:$C$45,MATCH(D315,Settings!$B$16:$B$45,0)),"Check category"))</f>
        <v/>
      </c>
      <c r="F315" s="76"/>
      <c r="G315" s="51"/>
      <c r="H315" s="51"/>
      <c r="I315" s="51"/>
      <c r="J315" s="51"/>
    </row>
    <row r="316" customFormat="false" ht="15" hidden="false" customHeight="false" outlineLevel="0" collapsed="false">
      <c r="A316" s="65"/>
      <c r="B316" s="51"/>
      <c r="C316" s="51"/>
      <c r="D316" s="51"/>
      <c r="E316" s="60" t="str">
        <f aca="false">IF(D316="","",IFERROR(INDEX(Settings!$C$16:$C$45,MATCH(D316,Settings!$B$16:$B$45,0)),"Check category"))</f>
        <v/>
      </c>
      <c r="F316" s="76"/>
      <c r="G316" s="51"/>
      <c r="H316" s="51"/>
      <c r="I316" s="51"/>
      <c r="J316" s="51"/>
    </row>
    <row r="317" customFormat="false" ht="15" hidden="false" customHeight="false" outlineLevel="0" collapsed="false">
      <c r="A317" s="65"/>
      <c r="B317" s="51"/>
      <c r="C317" s="51"/>
      <c r="D317" s="51"/>
      <c r="E317" s="60" t="str">
        <f aca="false">IF(D317="","",IFERROR(INDEX(Settings!$C$16:$C$45,MATCH(D317,Settings!$B$16:$B$45,0)),"Check category"))</f>
        <v/>
      </c>
      <c r="F317" s="76"/>
      <c r="G317" s="51"/>
      <c r="H317" s="51"/>
      <c r="I317" s="51"/>
      <c r="J317" s="51"/>
    </row>
    <row r="318" customFormat="false" ht="15" hidden="false" customHeight="false" outlineLevel="0" collapsed="false">
      <c r="A318" s="65"/>
      <c r="B318" s="51"/>
      <c r="C318" s="51"/>
      <c r="D318" s="51"/>
      <c r="E318" s="60" t="str">
        <f aca="false">IF(D318="","",IFERROR(INDEX(Settings!$C$16:$C$45,MATCH(D318,Settings!$B$16:$B$45,0)),"Check category"))</f>
        <v/>
      </c>
      <c r="F318" s="76"/>
      <c r="G318" s="51"/>
      <c r="H318" s="51"/>
      <c r="I318" s="51"/>
      <c r="J318" s="51"/>
    </row>
    <row r="319" customFormat="false" ht="15" hidden="false" customHeight="false" outlineLevel="0" collapsed="false">
      <c r="A319" s="65"/>
      <c r="B319" s="51"/>
      <c r="C319" s="51"/>
      <c r="D319" s="51"/>
      <c r="E319" s="60" t="str">
        <f aca="false">IF(D319="","",IFERROR(INDEX(Settings!$C$16:$C$45,MATCH(D319,Settings!$B$16:$B$45,0)),"Check category"))</f>
        <v/>
      </c>
      <c r="F319" s="76"/>
      <c r="G319" s="51"/>
      <c r="H319" s="51"/>
      <c r="I319" s="51"/>
      <c r="J319" s="51"/>
    </row>
    <row r="320" customFormat="false" ht="15" hidden="false" customHeight="false" outlineLevel="0" collapsed="false">
      <c r="A320" s="65"/>
      <c r="B320" s="51"/>
      <c r="C320" s="51"/>
      <c r="D320" s="51"/>
      <c r="E320" s="60" t="str">
        <f aca="false">IF(D320="","",IFERROR(INDEX(Settings!$C$16:$C$45,MATCH(D320,Settings!$B$16:$B$45,0)),"Check category"))</f>
        <v/>
      </c>
      <c r="F320" s="76"/>
      <c r="G320" s="51"/>
      <c r="H320" s="51"/>
      <c r="I320" s="51"/>
      <c r="J320" s="51"/>
    </row>
    <row r="321" customFormat="false" ht="15" hidden="false" customHeight="false" outlineLevel="0" collapsed="false">
      <c r="A321" s="65"/>
      <c r="B321" s="51"/>
      <c r="C321" s="51"/>
      <c r="D321" s="51"/>
      <c r="E321" s="60" t="str">
        <f aca="false">IF(D321="","",IFERROR(INDEX(Settings!$C$16:$C$45,MATCH(D321,Settings!$B$16:$B$45,0)),"Check category"))</f>
        <v/>
      </c>
      <c r="F321" s="76"/>
      <c r="G321" s="51"/>
      <c r="H321" s="51"/>
      <c r="I321" s="51"/>
      <c r="J321" s="51"/>
    </row>
    <row r="322" customFormat="false" ht="15" hidden="false" customHeight="false" outlineLevel="0" collapsed="false">
      <c r="A322" s="65"/>
      <c r="B322" s="51"/>
      <c r="C322" s="51"/>
      <c r="D322" s="51"/>
      <c r="E322" s="60" t="str">
        <f aca="false">IF(D322="","",IFERROR(INDEX(Settings!$C$16:$C$45,MATCH(D322,Settings!$B$16:$B$45,0)),"Check category"))</f>
        <v/>
      </c>
      <c r="F322" s="76"/>
      <c r="G322" s="51"/>
      <c r="H322" s="51"/>
      <c r="I322" s="51"/>
      <c r="J322" s="51"/>
    </row>
    <row r="323" customFormat="false" ht="15" hidden="false" customHeight="false" outlineLevel="0" collapsed="false">
      <c r="A323" s="65"/>
      <c r="B323" s="51"/>
      <c r="C323" s="51"/>
      <c r="D323" s="51"/>
      <c r="E323" s="60" t="str">
        <f aca="false">IF(D323="","",IFERROR(INDEX(Settings!$C$16:$C$45,MATCH(D323,Settings!$B$16:$B$45,0)),"Check category"))</f>
        <v/>
      </c>
      <c r="F323" s="76"/>
      <c r="G323" s="51"/>
      <c r="H323" s="51"/>
      <c r="I323" s="51"/>
      <c r="J323" s="51"/>
    </row>
    <row r="324" customFormat="false" ht="15" hidden="false" customHeight="false" outlineLevel="0" collapsed="false">
      <c r="A324" s="65"/>
      <c r="B324" s="51"/>
      <c r="C324" s="51"/>
      <c r="D324" s="51"/>
      <c r="E324" s="60" t="str">
        <f aca="false">IF(D324="","",IFERROR(INDEX(Settings!$C$16:$C$45,MATCH(D324,Settings!$B$16:$B$45,0)),"Check category"))</f>
        <v/>
      </c>
      <c r="F324" s="76"/>
      <c r="G324" s="51"/>
      <c r="H324" s="51"/>
      <c r="I324" s="51"/>
      <c r="J324" s="51"/>
    </row>
    <row r="325" customFormat="false" ht="15" hidden="false" customHeight="false" outlineLevel="0" collapsed="false">
      <c r="A325" s="65"/>
      <c r="B325" s="51"/>
      <c r="C325" s="51"/>
      <c r="D325" s="51"/>
      <c r="E325" s="60" t="str">
        <f aca="false">IF(D325="","",IFERROR(INDEX(Settings!$C$16:$C$45,MATCH(D325,Settings!$B$16:$B$45,0)),"Check category"))</f>
        <v/>
      </c>
      <c r="F325" s="76"/>
      <c r="G325" s="51"/>
      <c r="H325" s="51"/>
      <c r="I325" s="51"/>
      <c r="J325" s="51"/>
    </row>
    <row r="326" customFormat="false" ht="15" hidden="false" customHeight="false" outlineLevel="0" collapsed="false">
      <c r="A326" s="65"/>
      <c r="B326" s="51"/>
      <c r="C326" s="51"/>
      <c r="D326" s="51"/>
      <c r="E326" s="60" t="str">
        <f aca="false">IF(D326="","",IFERROR(INDEX(Settings!$C$16:$C$45,MATCH(D326,Settings!$B$16:$B$45,0)),"Check category"))</f>
        <v/>
      </c>
      <c r="F326" s="76"/>
      <c r="G326" s="51"/>
      <c r="H326" s="51"/>
      <c r="I326" s="51"/>
      <c r="J326" s="51"/>
    </row>
    <row r="327" customFormat="false" ht="15" hidden="false" customHeight="false" outlineLevel="0" collapsed="false">
      <c r="A327" s="65"/>
      <c r="B327" s="51"/>
      <c r="C327" s="51"/>
      <c r="D327" s="51"/>
      <c r="E327" s="60" t="str">
        <f aca="false">IF(D327="","",IFERROR(INDEX(Settings!$C$16:$C$45,MATCH(D327,Settings!$B$16:$B$45,0)),"Check category"))</f>
        <v/>
      </c>
      <c r="F327" s="76"/>
      <c r="G327" s="51"/>
      <c r="H327" s="51"/>
      <c r="I327" s="51"/>
      <c r="J327" s="51"/>
    </row>
    <row r="328" customFormat="false" ht="15" hidden="false" customHeight="false" outlineLevel="0" collapsed="false">
      <c r="A328" s="65"/>
      <c r="B328" s="51"/>
      <c r="C328" s="51"/>
      <c r="D328" s="51"/>
      <c r="E328" s="60" t="str">
        <f aca="false">IF(D328="","",IFERROR(INDEX(Settings!$C$16:$C$45,MATCH(D328,Settings!$B$16:$B$45,0)),"Check category"))</f>
        <v/>
      </c>
      <c r="F328" s="76"/>
      <c r="G328" s="51"/>
      <c r="H328" s="51"/>
      <c r="I328" s="51"/>
      <c r="J328" s="51"/>
    </row>
    <row r="329" customFormat="false" ht="15" hidden="false" customHeight="false" outlineLevel="0" collapsed="false">
      <c r="A329" s="65"/>
      <c r="B329" s="51"/>
      <c r="C329" s="51"/>
      <c r="D329" s="51"/>
      <c r="E329" s="60" t="str">
        <f aca="false">IF(D329="","",IFERROR(INDEX(Settings!$C$16:$C$45,MATCH(D329,Settings!$B$16:$B$45,0)),"Check category"))</f>
        <v/>
      </c>
      <c r="F329" s="76"/>
      <c r="G329" s="51"/>
      <c r="H329" s="51"/>
      <c r="I329" s="51"/>
      <c r="J329" s="51"/>
    </row>
    <row r="330" customFormat="false" ht="15" hidden="false" customHeight="false" outlineLevel="0" collapsed="false">
      <c r="A330" s="65"/>
      <c r="B330" s="51"/>
      <c r="C330" s="51"/>
      <c r="D330" s="51"/>
      <c r="E330" s="60" t="str">
        <f aca="false">IF(D330="","",IFERROR(INDEX(Settings!$C$16:$C$45,MATCH(D330,Settings!$B$16:$B$45,0)),"Check category"))</f>
        <v/>
      </c>
      <c r="F330" s="76"/>
      <c r="G330" s="51"/>
      <c r="H330" s="51"/>
      <c r="I330" s="51"/>
      <c r="J330" s="51"/>
    </row>
    <row r="331" customFormat="false" ht="15" hidden="false" customHeight="false" outlineLevel="0" collapsed="false">
      <c r="A331" s="65"/>
      <c r="B331" s="51"/>
      <c r="C331" s="51"/>
      <c r="D331" s="51"/>
      <c r="E331" s="60" t="str">
        <f aca="false">IF(D331="","",IFERROR(INDEX(Settings!$C$16:$C$45,MATCH(D331,Settings!$B$16:$B$45,0)),"Check category"))</f>
        <v/>
      </c>
      <c r="F331" s="76"/>
      <c r="G331" s="51"/>
      <c r="H331" s="51"/>
      <c r="I331" s="51"/>
      <c r="J331" s="51"/>
    </row>
    <row r="332" customFormat="false" ht="15" hidden="false" customHeight="false" outlineLevel="0" collapsed="false">
      <c r="A332" s="65"/>
      <c r="B332" s="51"/>
      <c r="C332" s="51"/>
      <c r="D332" s="51"/>
      <c r="E332" s="60" t="str">
        <f aca="false">IF(D332="","",IFERROR(INDEX(Settings!$C$16:$C$45,MATCH(D332,Settings!$B$16:$B$45,0)),"Check category"))</f>
        <v/>
      </c>
      <c r="F332" s="76"/>
      <c r="G332" s="51"/>
      <c r="H332" s="51"/>
      <c r="I332" s="51"/>
      <c r="J332" s="51"/>
    </row>
    <row r="333" customFormat="false" ht="15" hidden="false" customHeight="false" outlineLevel="0" collapsed="false">
      <c r="A333" s="65"/>
      <c r="B333" s="51"/>
      <c r="C333" s="51"/>
      <c r="D333" s="51"/>
      <c r="E333" s="60" t="str">
        <f aca="false">IF(D333="","",IFERROR(INDEX(Settings!$C$16:$C$45,MATCH(D333,Settings!$B$16:$B$45,0)),"Check category"))</f>
        <v/>
      </c>
      <c r="F333" s="76"/>
      <c r="G333" s="51"/>
      <c r="H333" s="51"/>
      <c r="I333" s="51"/>
      <c r="J333" s="51"/>
    </row>
    <row r="334" customFormat="false" ht="15" hidden="false" customHeight="false" outlineLevel="0" collapsed="false">
      <c r="A334" s="65"/>
      <c r="B334" s="51"/>
      <c r="C334" s="51"/>
      <c r="D334" s="51"/>
      <c r="E334" s="60" t="str">
        <f aca="false">IF(D334="","",IFERROR(INDEX(Settings!$C$16:$C$45,MATCH(D334,Settings!$B$16:$B$45,0)),"Check category"))</f>
        <v/>
      </c>
      <c r="F334" s="76"/>
      <c r="G334" s="51"/>
      <c r="H334" s="51"/>
      <c r="I334" s="51"/>
      <c r="J334" s="51"/>
    </row>
    <row r="335" customFormat="false" ht="15" hidden="false" customHeight="false" outlineLevel="0" collapsed="false">
      <c r="A335" s="65"/>
      <c r="B335" s="51"/>
      <c r="C335" s="51"/>
      <c r="D335" s="51"/>
      <c r="E335" s="60" t="str">
        <f aca="false">IF(D335="","",IFERROR(INDEX(Settings!$C$16:$C$45,MATCH(D335,Settings!$B$16:$B$45,0)),"Check category"))</f>
        <v/>
      </c>
      <c r="F335" s="76"/>
      <c r="G335" s="51"/>
      <c r="H335" s="51"/>
      <c r="I335" s="51"/>
      <c r="J335" s="51"/>
    </row>
    <row r="336" customFormat="false" ht="15" hidden="false" customHeight="false" outlineLevel="0" collapsed="false">
      <c r="A336" s="65"/>
      <c r="B336" s="51"/>
      <c r="C336" s="51"/>
      <c r="D336" s="51"/>
      <c r="E336" s="60" t="str">
        <f aca="false">IF(D336="","",IFERROR(INDEX(Settings!$C$16:$C$45,MATCH(D336,Settings!$B$16:$B$45,0)),"Check category"))</f>
        <v/>
      </c>
      <c r="F336" s="76"/>
      <c r="G336" s="51"/>
      <c r="H336" s="51"/>
      <c r="I336" s="51"/>
      <c r="J336" s="51"/>
    </row>
    <row r="337" customFormat="false" ht="15" hidden="false" customHeight="false" outlineLevel="0" collapsed="false">
      <c r="A337" s="65"/>
      <c r="B337" s="51"/>
      <c r="C337" s="51"/>
      <c r="D337" s="51"/>
      <c r="E337" s="60" t="str">
        <f aca="false">IF(D337="","",IFERROR(INDEX(Settings!$C$16:$C$45,MATCH(D337,Settings!$B$16:$B$45,0)),"Check category"))</f>
        <v/>
      </c>
      <c r="F337" s="76"/>
      <c r="G337" s="51"/>
      <c r="H337" s="51"/>
      <c r="I337" s="51"/>
      <c r="J337" s="51"/>
    </row>
    <row r="338" customFormat="false" ht="15" hidden="false" customHeight="false" outlineLevel="0" collapsed="false">
      <c r="A338" s="65"/>
      <c r="B338" s="51"/>
      <c r="C338" s="51"/>
      <c r="D338" s="51"/>
      <c r="E338" s="60" t="str">
        <f aca="false">IF(D338="","",IFERROR(INDEX(Settings!$C$16:$C$45,MATCH(D338,Settings!$B$16:$B$45,0)),"Check category"))</f>
        <v/>
      </c>
      <c r="F338" s="76"/>
      <c r="G338" s="51"/>
      <c r="H338" s="51"/>
      <c r="I338" s="51"/>
      <c r="J338" s="51"/>
    </row>
    <row r="339" customFormat="false" ht="15" hidden="false" customHeight="false" outlineLevel="0" collapsed="false">
      <c r="A339" s="65"/>
      <c r="B339" s="51"/>
      <c r="C339" s="51"/>
      <c r="D339" s="51"/>
      <c r="E339" s="60" t="str">
        <f aca="false">IF(D339="","",IFERROR(INDEX(Settings!$C$16:$C$45,MATCH(D339,Settings!$B$16:$B$45,0)),"Check category"))</f>
        <v/>
      </c>
      <c r="F339" s="76"/>
      <c r="G339" s="51"/>
      <c r="H339" s="51"/>
      <c r="I339" s="51"/>
      <c r="J339" s="51"/>
    </row>
    <row r="340" customFormat="false" ht="15" hidden="false" customHeight="false" outlineLevel="0" collapsed="false">
      <c r="A340" s="65"/>
      <c r="B340" s="51"/>
      <c r="C340" s="51"/>
      <c r="D340" s="51"/>
      <c r="E340" s="60" t="str">
        <f aca="false">IF(D340="","",IFERROR(INDEX(Settings!$C$16:$C$45,MATCH(D340,Settings!$B$16:$B$45,0)),"Check category"))</f>
        <v/>
      </c>
      <c r="F340" s="76"/>
      <c r="G340" s="51"/>
      <c r="H340" s="51"/>
      <c r="I340" s="51"/>
      <c r="J340" s="51"/>
    </row>
    <row r="341" customFormat="false" ht="15" hidden="false" customHeight="false" outlineLevel="0" collapsed="false">
      <c r="A341" s="65"/>
      <c r="B341" s="51"/>
      <c r="C341" s="51"/>
      <c r="D341" s="51"/>
      <c r="E341" s="60" t="str">
        <f aca="false">IF(D341="","",IFERROR(INDEX(Settings!$C$16:$C$45,MATCH(D341,Settings!$B$16:$B$45,0)),"Check category"))</f>
        <v/>
      </c>
      <c r="F341" s="76"/>
      <c r="G341" s="51"/>
      <c r="H341" s="51"/>
      <c r="I341" s="51"/>
      <c r="J341" s="51"/>
    </row>
    <row r="342" customFormat="false" ht="15" hidden="false" customHeight="false" outlineLevel="0" collapsed="false">
      <c r="A342" s="65"/>
      <c r="B342" s="51"/>
      <c r="C342" s="51"/>
      <c r="D342" s="51"/>
      <c r="E342" s="60" t="str">
        <f aca="false">IF(D342="","",IFERROR(INDEX(Settings!$C$16:$C$45,MATCH(D342,Settings!$B$16:$B$45,0)),"Check category"))</f>
        <v/>
      </c>
      <c r="F342" s="76"/>
      <c r="G342" s="51"/>
      <c r="H342" s="51"/>
      <c r="I342" s="51"/>
      <c r="J342" s="51"/>
    </row>
    <row r="343" customFormat="false" ht="15" hidden="false" customHeight="false" outlineLevel="0" collapsed="false">
      <c r="A343" s="65"/>
      <c r="B343" s="51"/>
      <c r="C343" s="51"/>
      <c r="D343" s="51"/>
      <c r="E343" s="60" t="str">
        <f aca="false">IF(D343="","",IFERROR(INDEX(Settings!$C$16:$C$45,MATCH(D343,Settings!$B$16:$B$45,0)),"Check category"))</f>
        <v/>
      </c>
      <c r="F343" s="76"/>
      <c r="G343" s="51"/>
      <c r="H343" s="51"/>
      <c r="I343" s="51"/>
      <c r="J343" s="51"/>
    </row>
    <row r="344" customFormat="false" ht="15" hidden="false" customHeight="false" outlineLevel="0" collapsed="false">
      <c r="A344" s="65"/>
      <c r="B344" s="51"/>
      <c r="C344" s="51"/>
      <c r="D344" s="51"/>
      <c r="E344" s="60" t="str">
        <f aca="false">IF(D344="","",IFERROR(INDEX(Settings!$C$16:$C$45,MATCH(D344,Settings!$B$16:$B$45,0)),"Check category"))</f>
        <v/>
      </c>
      <c r="F344" s="76"/>
      <c r="G344" s="51"/>
      <c r="H344" s="51"/>
      <c r="I344" s="51"/>
      <c r="J344" s="51"/>
    </row>
    <row r="345" customFormat="false" ht="15" hidden="false" customHeight="false" outlineLevel="0" collapsed="false">
      <c r="A345" s="65"/>
      <c r="B345" s="51"/>
      <c r="C345" s="51"/>
      <c r="D345" s="51"/>
      <c r="E345" s="60" t="str">
        <f aca="false">IF(D345="","",IFERROR(INDEX(Settings!$C$16:$C$45,MATCH(D345,Settings!$B$16:$B$45,0)),"Check category"))</f>
        <v/>
      </c>
      <c r="F345" s="76"/>
      <c r="G345" s="51"/>
      <c r="H345" s="51"/>
      <c r="I345" s="51"/>
      <c r="J345" s="51"/>
    </row>
    <row r="346" customFormat="false" ht="15" hidden="false" customHeight="false" outlineLevel="0" collapsed="false">
      <c r="A346" s="65"/>
      <c r="B346" s="51"/>
      <c r="C346" s="51"/>
      <c r="D346" s="51"/>
      <c r="E346" s="60" t="str">
        <f aca="false">IF(D346="","",IFERROR(INDEX(Settings!$C$16:$C$45,MATCH(D346,Settings!$B$16:$B$45,0)),"Check category"))</f>
        <v/>
      </c>
      <c r="F346" s="76"/>
      <c r="G346" s="51"/>
      <c r="H346" s="51"/>
      <c r="I346" s="51"/>
      <c r="J346" s="51"/>
    </row>
    <row r="347" customFormat="false" ht="15" hidden="false" customHeight="false" outlineLevel="0" collapsed="false">
      <c r="A347" s="65"/>
      <c r="B347" s="51"/>
      <c r="C347" s="51"/>
      <c r="D347" s="51"/>
      <c r="E347" s="60" t="str">
        <f aca="false">IF(D347="","",IFERROR(INDEX(Settings!$C$16:$C$45,MATCH(D347,Settings!$B$16:$B$45,0)),"Check category"))</f>
        <v/>
      </c>
      <c r="F347" s="76"/>
      <c r="G347" s="51"/>
      <c r="H347" s="51"/>
      <c r="I347" s="51"/>
      <c r="J347" s="51"/>
    </row>
    <row r="348" customFormat="false" ht="15" hidden="false" customHeight="false" outlineLevel="0" collapsed="false">
      <c r="A348" s="65"/>
      <c r="B348" s="51"/>
      <c r="C348" s="51"/>
      <c r="D348" s="51"/>
      <c r="E348" s="60" t="str">
        <f aca="false">IF(D348="","",IFERROR(INDEX(Settings!$C$16:$C$45,MATCH(D348,Settings!$B$16:$B$45,0)),"Check category"))</f>
        <v/>
      </c>
      <c r="F348" s="76"/>
      <c r="G348" s="51"/>
      <c r="H348" s="51"/>
      <c r="I348" s="51"/>
      <c r="J348" s="51"/>
    </row>
    <row r="349" customFormat="false" ht="15" hidden="false" customHeight="false" outlineLevel="0" collapsed="false">
      <c r="A349" s="65"/>
      <c r="B349" s="51"/>
      <c r="C349" s="51"/>
      <c r="D349" s="51"/>
      <c r="E349" s="60" t="str">
        <f aca="false">IF(D349="","",IFERROR(INDEX(Settings!$C$16:$C$45,MATCH(D349,Settings!$B$16:$B$45,0)),"Check category"))</f>
        <v/>
      </c>
      <c r="F349" s="76"/>
      <c r="G349" s="51"/>
      <c r="H349" s="51"/>
      <c r="I349" s="51"/>
      <c r="J349" s="51"/>
    </row>
    <row r="350" customFormat="false" ht="15" hidden="false" customHeight="false" outlineLevel="0" collapsed="false">
      <c r="A350" s="65"/>
      <c r="B350" s="51"/>
      <c r="C350" s="51"/>
      <c r="D350" s="51"/>
      <c r="E350" s="60" t="str">
        <f aca="false">IF(D350="","",IFERROR(INDEX(Settings!$C$16:$C$45,MATCH(D350,Settings!$B$16:$B$45,0)),"Check category"))</f>
        <v/>
      </c>
      <c r="F350" s="76"/>
      <c r="G350" s="51"/>
      <c r="H350" s="51"/>
      <c r="I350" s="51"/>
      <c r="J350" s="51"/>
    </row>
    <row r="351" customFormat="false" ht="15" hidden="false" customHeight="false" outlineLevel="0" collapsed="false">
      <c r="A351" s="65"/>
      <c r="B351" s="51"/>
      <c r="C351" s="51"/>
      <c r="D351" s="51"/>
      <c r="E351" s="60" t="str">
        <f aca="false">IF(D351="","",IFERROR(INDEX(Settings!$C$16:$C$45,MATCH(D351,Settings!$B$16:$B$45,0)),"Check category"))</f>
        <v/>
      </c>
      <c r="F351" s="76"/>
      <c r="G351" s="51"/>
      <c r="H351" s="51"/>
      <c r="I351" s="51"/>
      <c r="J351" s="51"/>
    </row>
    <row r="352" customFormat="false" ht="15" hidden="false" customHeight="false" outlineLevel="0" collapsed="false">
      <c r="A352" s="65"/>
      <c r="B352" s="51"/>
      <c r="C352" s="51"/>
      <c r="D352" s="51"/>
      <c r="E352" s="60" t="str">
        <f aca="false">IF(D352="","",IFERROR(INDEX(Settings!$C$16:$C$45,MATCH(D352,Settings!$B$16:$B$45,0)),"Check category"))</f>
        <v/>
      </c>
      <c r="F352" s="76"/>
      <c r="G352" s="51"/>
      <c r="H352" s="51"/>
      <c r="I352" s="51"/>
      <c r="J352" s="51"/>
    </row>
    <row r="353" customFormat="false" ht="15" hidden="false" customHeight="false" outlineLevel="0" collapsed="false">
      <c r="A353" s="65"/>
      <c r="B353" s="51"/>
      <c r="C353" s="51"/>
      <c r="D353" s="51"/>
      <c r="E353" s="60" t="str">
        <f aca="false">IF(D353="","",IFERROR(INDEX(Settings!$C$16:$C$45,MATCH(D353,Settings!$B$16:$B$45,0)),"Check category"))</f>
        <v/>
      </c>
      <c r="F353" s="76"/>
      <c r="G353" s="51"/>
      <c r="H353" s="51"/>
      <c r="I353" s="51"/>
      <c r="J353" s="51"/>
    </row>
    <row r="354" customFormat="false" ht="15" hidden="false" customHeight="false" outlineLevel="0" collapsed="false">
      <c r="A354" s="65"/>
      <c r="B354" s="51"/>
      <c r="C354" s="51"/>
      <c r="D354" s="51"/>
      <c r="E354" s="60" t="str">
        <f aca="false">IF(D354="","",IFERROR(INDEX(Settings!$C$16:$C$45,MATCH(D354,Settings!$B$16:$B$45,0)),"Check category"))</f>
        <v/>
      </c>
      <c r="F354" s="76"/>
      <c r="G354" s="51"/>
      <c r="H354" s="51"/>
      <c r="I354" s="51"/>
      <c r="J354" s="51"/>
    </row>
    <row r="355" customFormat="false" ht="15" hidden="false" customHeight="false" outlineLevel="0" collapsed="false">
      <c r="A355" s="65"/>
      <c r="B355" s="51"/>
      <c r="C355" s="51"/>
      <c r="D355" s="51"/>
      <c r="E355" s="60" t="str">
        <f aca="false">IF(D355="","",IFERROR(INDEX(Settings!$C$16:$C$45,MATCH(D355,Settings!$B$16:$B$45,0)),"Check category"))</f>
        <v/>
      </c>
      <c r="F355" s="76"/>
      <c r="G355" s="51"/>
      <c r="H355" s="51"/>
      <c r="I355" s="51"/>
      <c r="J355" s="51"/>
    </row>
    <row r="356" customFormat="false" ht="15" hidden="false" customHeight="false" outlineLevel="0" collapsed="false">
      <c r="A356" s="65"/>
      <c r="B356" s="51"/>
      <c r="C356" s="51"/>
      <c r="D356" s="51"/>
      <c r="E356" s="60" t="str">
        <f aca="false">IF(D356="","",IFERROR(INDEX(Settings!$C$16:$C$45,MATCH(D356,Settings!$B$16:$B$45,0)),"Check category"))</f>
        <v/>
      </c>
      <c r="F356" s="76"/>
      <c r="G356" s="51"/>
      <c r="H356" s="51"/>
      <c r="I356" s="51"/>
      <c r="J356" s="51"/>
    </row>
    <row r="357" customFormat="false" ht="15" hidden="false" customHeight="false" outlineLevel="0" collapsed="false">
      <c r="A357" s="65"/>
      <c r="B357" s="51"/>
      <c r="C357" s="51"/>
      <c r="D357" s="51"/>
      <c r="E357" s="60" t="str">
        <f aca="false">IF(D357="","",IFERROR(INDEX(Settings!$C$16:$C$45,MATCH(D357,Settings!$B$16:$B$45,0)),"Check category"))</f>
        <v/>
      </c>
      <c r="F357" s="76"/>
      <c r="G357" s="51"/>
      <c r="H357" s="51"/>
      <c r="I357" s="51"/>
      <c r="J357" s="51"/>
    </row>
    <row r="358" customFormat="false" ht="15" hidden="false" customHeight="false" outlineLevel="0" collapsed="false">
      <c r="A358" s="65"/>
      <c r="B358" s="51"/>
      <c r="C358" s="51"/>
      <c r="D358" s="51"/>
      <c r="E358" s="60" t="str">
        <f aca="false">IF(D358="","",IFERROR(INDEX(Settings!$C$16:$C$45,MATCH(D358,Settings!$B$16:$B$45,0)),"Check category"))</f>
        <v/>
      </c>
      <c r="F358" s="76"/>
      <c r="G358" s="51"/>
      <c r="H358" s="51"/>
      <c r="I358" s="51"/>
      <c r="J358" s="51"/>
    </row>
    <row r="359" customFormat="false" ht="15" hidden="false" customHeight="false" outlineLevel="0" collapsed="false">
      <c r="A359" s="65"/>
      <c r="B359" s="51"/>
      <c r="C359" s="51"/>
      <c r="D359" s="51"/>
      <c r="E359" s="60" t="str">
        <f aca="false">IF(D359="","",IFERROR(INDEX(Settings!$C$16:$C$45,MATCH(D359,Settings!$B$16:$B$45,0)),"Check category"))</f>
        <v/>
      </c>
      <c r="F359" s="76"/>
      <c r="G359" s="51"/>
      <c r="H359" s="51"/>
      <c r="I359" s="51"/>
      <c r="J359" s="51"/>
    </row>
    <row r="360" customFormat="false" ht="15" hidden="false" customHeight="false" outlineLevel="0" collapsed="false">
      <c r="A360" s="65"/>
      <c r="B360" s="51"/>
      <c r="C360" s="51"/>
      <c r="D360" s="51"/>
      <c r="E360" s="60" t="str">
        <f aca="false">IF(D360="","",IFERROR(INDEX(Settings!$C$16:$C$45,MATCH(D360,Settings!$B$16:$B$45,0)),"Check category"))</f>
        <v/>
      </c>
      <c r="F360" s="76"/>
      <c r="G360" s="51"/>
      <c r="H360" s="51"/>
      <c r="I360" s="51"/>
      <c r="J360" s="51"/>
    </row>
    <row r="361" customFormat="false" ht="15" hidden="false" customHeight="false" outlineLevel="0" collapsed="false">
      <c r="A361" s="65"/>
      <c r="B361" s="51"/>
      <c r="C361" s="51"/>
      <c r="D361" s="51"/>
      <c r="E361" s="60" t="str">
        <f aca="false">IF(D361="","",IFERROR(INDEX(Settings!$C$16:$C$45,MATCH(D361,Settings!$B$16:$B$45,0)),"Check category"))</f>
        <v/>
      </c>
      <c r="F361" s="76"/>
      <c r="G361" s="51"/>
      <c r="H361" s="51"/>
      <c r="I361" s="51"/>
      <c r="J361" s="51"/>
    </row>
    <row r="362" customFormat="false" ht="15" hidden="false" customHeight="false" outlineLevel="0" collapsed="false">
      <c r="A362" s="65"/>
      <c r="B362" s="51"/>
      <c r="C362" s="51"/>
      <c r="D362" s="51"/>
      <c r="E362" s="60" t="str">
        <f aca="false">IF(D362="","",IFERROR(INDEX(Settings!$C$16:$C$45,MATCH(D362,Settings!$B$16:$B$45,0)),"Check category"))</f>
        <v/>
      </c>
      <c r="F362" s="76"/>
      <c r="G362" s="51"/>
      <c r="H362" s="51"/>
      <c r="I362" s="51"/>
      <c r="J362" s="51"/>
    </row>
    <row r="363" customFormat="false" ht="15" hidden="false" customHeight="false" outlineLevel="0" collapsed="false">
      <c r="A363" s="65"/>
      <c r="B363" s="51"/>
      <c r="C363" s="51"/>
      <c r="D363" s="51"/>
      <c r="E363" s="60" t="str">
        <f aca="false">IF(D363="","",IFERROR(INDEX(Settings!$C$16:$C$45,MATCH(D363,Settings!$B$16:$B$45,0)),"Check category"))</f>
        <v/>
      </c>
      <c r="F363" s="76"/>
      <c r="G363" s="51"/>
      <c r="H363" s="51"/>
      <c r="I363" s="51"/>
      <c r="J363" s="51"/>
    </row>
    <row r="364" customFormat="false" ht="15" hidden="false" customHeight="false" outlineLevel="0" collapsed="false">
      <c r="A364" s="65"/>
      <c r="B364" s="51"/>
      <c r="C364" s="51"/>
      <c r="D364" s="51"/>
      <c r="E364" s="60" t="str">
        <f aca="false">IF(D364="","",IFERROR(INDEX(Settings!$C$16:$C$45,MATCH(D364,Settings!$B$16:$B$45,0)),"Check category"))</f>
        <v/>
      </c>
      <c r="F364" s="76"/>
      <c r="G364" s="51"/>
      <c r="H364" s="51"/>
      <c r="I364" s="51"/>
      <c r="J364" s="51"/>
    </row>
    <row r="365" customFormat="false" ht="15" hidden="false" customHeight="false" outlineLevel="0" collapsed="false">
      <c r="A365" s="65"/>
      <c r="B365" s="51"/>
      <c r="C365" s="51"/>
      <c r="D365" s="51"/>
      <c r="E365" s="60" t="str">
        <f aca="false">IF(D365="","",IFERROR(INDEX(Settings!$C$16:$C$45,MATCH(D365,Settings!$B$16:$B$45,0)),"Check category"))</f>
        <v/>
      </c>
      <c r="F365" s="76"/>
      <c r="G365" s="51"/>
      <c r="H365" s="51"/>
      <c r="I365" s="51"/>
      <c r="J365" s="51"/>
    </row>
    <row r="366" customFormat="false" ht="15" hidden="false" customHeight="false" outlineLevel="0" collapsed="false">
      <c r="A366" s="65"/>
      <c r="B366" s="51"/>
      <c r="C366" s="51"/>
      <c r="D366" s="51"/>
      <c r="E366" s="60" t="str">
        <f aca="false">IF(D366="","",IFERROR(INDEX(Settings!$C$16:$C$45,MATCH(D366,Settings!$B$16:$B$45,0)),"Check category"))</f>
        <v/>
      </c>
      <c r="F366" s="76"/>
      <c r="G366" s="51"/>
      <c r="H366" s="51"/>
      <c r="I366" s="51"/>
      <c r="J366" s="51"/>
    </row>
    <row r="367" customFormat="false" ht="15" hidden="false" customHeight="false" outlineLevel="0" collapsed="false">
      <c r="A367" s="65"/>
      <c r="B367" s="51"/>
      <c r="C367" s="51"/>
      <c r="D367" s="51"/>
      <c r="E367" s="60" t="str">
        <f aca="false">IF(D367="","",IFERROR(INDEX(Settings!$C$16:$C$45,MATCH(D367,Settings!$B$16:$B$45,0)),"Check category"))</f>
        <v/>
      </c>
      <c r="F367" s="76"/>
      <c r="G367" s="51"/>
      <c r="H367" s="51"/>
      <c r="I367" s="51"/>
      <c r="J367" s="51"/>
    </row>
    <row r="368" customFormat="false" ht="15" hidden="false" customHeight="false" outlineLevel="0" collapsed="false">
      <c r="A368" s="65"/>
      <c r="B368" s="51"/>
      <c r="C368" s="51"/>
      <c r="D368" s="51"/>
      <c r="E368" s="60" t="str">
        <f aca="false">IF(D368="","",IFERROR(INDEX(Settings!$C$16:$C$45,MATCH(D368,Settings!$B$16:$B$45,0)),"Check category"))</f>
        <v/>
      </c>
      <c r="F368" s="76"/>
      <c r="G368" s="51"/>
      <c r="H368" s="51"/>
      <c r="I368" s="51"/>
      <c r="J368" s="51"/>
    </row>
    <row r="369" customFormat="false" ht="15" hidden="false" customHeight="false" outlineLevel="0" collapsed="false">
      <c r="A369" s="65"/>
      <c r="B369" s="51"/>
      <c r="C369" s="51"/>
      <c r="D369" s="51"/>
      <c r="E369" s="60" t="str">
        <f aca="false">IF(D369="","",IFERROR(INDEX(Settings!$C$16:$C$45,MATCH(D369,Settings!$B$16:$B$45,0)),"Check category"))</f>
        <v/>
      </c>
      <c r="F369" s="76"/>
      <c r="G369" s="51"/>
      <c r="H369" s="51"/>
      <c r="I369" s="51"/>
      <c r="J369" s="51"/>
    </row>
    <row r="370" customFormat="false" ht="15" hidden="false" customHeight="false" outlineLevel="0" collapsed="false">
      <c r="A370" s="65"/>
      <c r="B370" s="51"/>
      <c r="C370" s="51"/>
      <c r="D370" s="51"/>
      <c r="E370" s="60" t="str">
        <f aca="false">IF(D370="","",IFERROR(INDEX(Settings!$C$16:$C$45,MATCH(D370,Settings!$B$16:$B$45,0)),"Check category"))</f>
        <v/>
      </c>
      <c r="F370" s="76"/>
      <c r="G370" s="51"/>
      <c r="H370" s="51"/>
      <c r="I370" s="51"/>
      <c r="J370" s="51"/>
    </row>
    <row r="371" customFormat="false" ht="15" hidden="false" customHeight="false" outlineLevel="0" collapsed="false">
      <c r="A371" s="65"/>
      <c r="B371" s="51"/>
      <c r="C371" s="51"/>
      <c r="D371" s="51"/>
      <c r="E371" s="60" t="str">
        <f aca="false">IF(D371="","",IFERROR(INDEX(Settings!$C$16:$C$45,MATCH(D371,Settings!$B$16:$B$45,0)),"Check category"))</f>
        <v/>
      </c>
      <c r="F371" s="76"/>
      <c r="G371" s="51"/>
      <c r="H371" s="51"/>
      <c r="I371" s="51"/>
      <c r="J371" s="51"/>
    </row>
    <row r="372" customFormat="false" ht="15" hidden="false" customHeight="false" outlineLevel="0" collapsed="false">
      <c r="A372" s="65"/>
      <c r="B372" s="51"/>
      <c r="C372" s="51"/>
      <c r="D372" s="51"/>
      <c r="E372" s="60" t="str">
        <f aca="false">IF(D372="","",IFERROR(INDEX(Settings!$C$16:$C$45,MATCH(D372,Settings!$B$16:$B$45,0)),"Check category"))</f>
        <v/>
      </c>
      <c r="F372" s="76"/>
      <c r="G372" s="51"/>
      <c r="H372" s="51"/>
      <c r="I372" s="51"/>
      <c r="J372" s="51"/>
    </row>
    <row r="373" customFormat="false" ht="15" hidden="false" customHeight="false" outlineLevel="0" collapsed="false">
      <c r="A373" s="65"/>
      <c r="B373" s="51"/>
      <c r="C373" s="51"/>
      <c r="D373" s="51"/>
      <c r="E373" s="60" t="str">
        <f aca="false">IF(D373="","",IFERROR(INDEX(Settings!$C$16:$C$45,MATCH(D373,Settings!$B$16:$B$45,0)),"Check category"))</f>
        <v/>
      </c>
      <c r="F373" s="76"/>
      <c r="G373" s="51"/>
      <c r="H373" s="51"/>
      <c r="I373" s="51"/>
      <c r="J373" s="51"/>
    </row>
    <row r="374" customFormat="false" ht="15" hidden="false" customHeight="false" outlineLevel="0" collapsed="false">
      <c r="A374" s="65"/>
      <c r="B374" s="51"/>
      <c r="C374" s="51"/>
      <c r="D374" s="51"/>
      <c r="E374" s="60" t="str">
        <f aca="false">IF(D374="","",IFERROR(INDEX(Settings!$C$16:$C$45,MATCH(D374,Settings!$B$16:$B$45,0)),"Check category"))</f>
        <v/>
      </c>
      <c r="F374" s="76"/>
      <c r="G374" s="51"/>
      <c r="H374" s="51"/>
      <c r="I374" s="51"/>
      <c r="J374" s="51"/>
    </row>
    <row r="375" customFormat="false" ht="15" hidden="false" customHeight="false" outlineLevel="0" collapsed="false">
      <c r="A375" s="65"/>
      <c r="B375" s="51"/>
      <c r="C375" s="51"/>
      <c r="D375" s="51"/>
      <c r="E375" s="60" t="str">
        <f aca="false">IF(D375="","",IFERROR(INDEX(Settings!$C$16:$C$45,MATCH(D375,Settings!$B$16:$B$45,0)),"Check category"))</f>
        <v/>
      </c>
      <c r="F375" s="76"/>
      <c r="G375" s="51"/>
      <c r="H375" s="51"/>
      <c r="I375" s="51"/>
      <c r="J375" s="51"/>
    </row>
    <row r="376" customFormat="false" ht="15" hidden="false" customHeight="false" outlineLevel="0" collapsed="false">
      <c r="A376" s="65"/>
      <c r="B376" s="51"/>
      <c r="C376" s="51"/>
      <c r="D376" s="51"/>
      <c r="E376" s="60" t="str">
        <f aca="false">IF(D376="","",IFERROR(INDEX(Settings!$C$16:$C$45,MATCH(D376,Settings!$B$16:$B$45,0)),"Check category"))</f>
        <v/>
      </c>
      <c r="F376" s="76"/>
      <c r="G376" s="51"/>
      <c r="H376" s="51"/>
      <c r="I376" s="51"/>
      <c r="J376" s="51"/>
    </row>
    <row r="377" customFormat="false" ht="15" hidden="false" customHeight="false" outlineLevel="0" collapsed="false">
      <c r="A377" s="65"/>
      <c r="B377" s="51"/>
      <c r="C377" s="51"/>
      <c r="D377" s="51"/>
      <c r="E377" s="60" t="str">
        <f aca="false">IF(D377="","",IFERROR(INDEX(Settings!$C$16:$C$45,MATCH(D377,Settings!$B$16:$B$45,0)),"Check category"))</f>
        <v/>
      </c>
      <c r="F377" s="76"/>
      <c r="G377" s="51"/>
      <c r="H377" s="51"/>
      <c r="I377" s="51"/>
      <c r="J377" s="51"/>
    </row>
    <row r="378" customFormat="false" ht="15" hidden="false" customHeight="false" outlineLevel="0" collapsed="false">
      <c r="A378" s="65"/>
      <c r="B378" s="51"/>
      <c r="C378" s="51"/>
      <c r="D378" s="51"/>
      <c r="E378" s="60" t="str">
        <f aca="false">IF(D378="","",IFERROR(INDEX(Settings!$C$16:$C$45,MATCH(D378,Settings!$B$16:$B$45,0)),"Check category"))</f>
        <v/>
      </c>
      <c r="F378" s="76"/>
      <c r="G378" s="51"/>
      <c r="H378" s="51"/>
      <c r="I378" s="51"/>
      <c r="J378" s="51"/>
    </row>
    <row r="379" customFormat="false" ht="15" hidden="false" customHeight="false" outlineLevel="0" collapsed="false">
      <c r="A379" s="65"/>
      <c r="B379" s="51"/>
      <c r="C379" s="51"/>
      <c r="D379" s="51"/>
      <c r="E379" s="60" t="str">
        <f aca="false">IF(D379="","",IFERROR(INDEX(Settings!$C$16:$C$45,MATCH(D379,Settings!$B$16:$B$45,0)),"Check category"))</f>
        <v/>
      </c>
      <c r="F379" s="76"/>
      <c r="G379" s="51"/>
      <c r="H379" s="51"/>
      <c r="I379" s="51"/>
      <c r="J379" s="51"/>
    </row>
    <row r="380" customFormat="false" ht="15" hidden="false" customHeight="false" outlineLevel="0" collapsed="false">
      <c r="A380" s="65"/>
      <c r="B380" s="51"/>
      <c r="C380" s="51"/>
      <c r="D380" s="51"/>
      <c r="E380" s="60" t="str">
        <f aca="false">IF(D380="","",IFERROR(INDEX(Settings!$C$16:$C$45,MATCH(D380,Settings!$B$16:$B$45,0)),"Check category"))</f>
        <v/>
      </c>
      <c r="F380" s="76"/>
      <c r="G380" s="51"/>
      <c r="H380" s="51"/>
      <c r="I380" s="51"/>
      <c r="J380" s="51"/>
    </row>
    <row r="381" customFormat="false" ht="15" hidden="false" customHeight="false" outlineLevel="0" collapsed="false">
      <c r="A381" s="65"/>
      <c r="B381" s="51"/>
      <c r="C381" s="51"/>
      <c r="D381" s="51"/>
      <c r="E381" s="60" t="str">
        <f aca="false">IF(D381="","",IFERROR(INDEX(Settings!$C$16:$C$45,MATCH(D381,Settings!$B$16:$B$45,0)),"Check category"))</f>
        <v/>
      </c>
      <c r="F381" s="76"/>
      <c r="G381" s="51"/>
      <c r="H381" s="51"/>
      <c r="I381" s="51"/>
      <c r="J381" s="51"/>
    </row>
    <row r="382" customFormat="false" ht="15" hidden="false" customHeight="false" outlineLevel="0" collapsed="false">
      <c r="A382" s="65"/>
      <c r="B382" s="51"/>
      <c r="C382" s="51"/>
      <c r="D382" s="51"/>
      <c r="E382" s="60" t="str">
        <f aca="false">IF(D382="","",IFERROR(INDEX(Settings!$C$16:$C$45,MATCH(D382,Settings!$B$16:$B$45,0)),"Check category"))</f>
        <v/>
      </c>
      <c r="F382" s="76"/>
      <c r="G382" s="51"/>
      <c r="H382" s="51"/>
      <c r="I382" s="51"/>
      <c r="J382" s="51"/>
    </row>
    <row r="383" customFormat="false" ht="15" hidden="false" customHeight="false" outlineLevel="0" collapsed="false">
      <c r="A383" s="65"/>
      <c r="B383" s="51"/>
      <c r="C383" s="51"/>
      <c r="D383" s="51"/>
      <c r="E383" s="60" t="str">
        <f aca="false">IF(D383="","",IFERROR(INDEX(Settings!$C$16:$C$45,MATCH(D383,Settings!$B$16:$B$45,0)),"Check category"))</f>
        <v/>
      </c>
      <c r="F383" s="76"/>
      <c r="G383" s="51"/>
      <c r="H383" s="51"/>
      <c r="I383" s="51"/>
      <c r="J383" s="51"/>
    </row>
    <row r="384" customFormat="false" ht="15" hidden="false" customHeight="false" outlineLevel="0" collapsed="false">
      <c r="A384" s="65"/>
      <c r="B384" s="51"/>
      <c r="C384" s="51"/>
      <c r="D384" s="51"/>
      <c r="E384" s="60" t="str">
        <f aca="false">IF(D384="","",IFERROR(INDEX(Settings!$C$16:$C$45,MATCH(D384,Settings!$B$16:$B$45,0)),"Check category"))</f>
        <v/>
      </c>
      <c r="F384" s="76"/>
      <c r="G384" s="51"/>
      <c r="H384" s="51"/>
      <c r="I384" s="51"/>
      <c r="J384" s="51"/>
    </row>
    <row r="385" customFormat="false" ht="15" hidden="false" customHeight="false" outlineLevel="0" collapsed="false">
      <c r="A385" s="65"/>
      <c r="B385" s="51"/>
      <c r="C385" s="51"/>
      <c r="D385" s="51"/>
      <c r="E385" s="60" t="str">
        <f aca="false">IF(D385="","",IFERROR(INDEX(Settings!$C$16:$C$45,MATCH(D385,Settings!$B$16:$B$45,0)),"Check category"))</f>
        <v/>
      </c>
      <c r="F385" s="76"/>
      <c r="G385" s="51"/>
      <c r="H385" s="51"/>
      <c r="I385" s="51"/>
      <c r="J385" s="51"/>
    </row>
    <row r="386" customFormat="false" ht="15" hidden="false" customHeight="false" outlineLevel="0" collapsed="false">
      <c r="A386" s="65"/>
      <c r="B386" s="51"/>
      <c r="C386" s="51"/>
      <c r="D386" s="51"/>
      <c r="E386" s="60" t="str">
        <f aca="false">IF(D386="","",IFERROR(INDEX(Settings!$C$16:$C$45,MATCH(D386,Settings!$B$16:$B$45,0)),"Check category"))</f>
        <v/>
      </c>
      <c r="F386" s="76"/>
      <c r="G386" s="51"/>
      <c r="H386" s="51"/>
      <c r="I386" s="51"/>
      <c r="J386" s="51"/>
    </row>
    <row r="387" customFormat="false" ht="15" hidden="false" customHeight="false" outlineLevel="0" collapsed="false">
      <c r="A387" s="65"/>
      <c r="B387" s="51"/>
      <c r="C387" s="51"/>
      <c r="D387" s="51"/>
      <c r="E387" s="60" t="str">
        <f aca="false">IF(D387="","",IFERROR(INDEX(Settings!$C$16:$C$45,MATCH(D387,Settings!$B$16:$B$45,0)),"Check category"))</f>
        <v/>
      </c>
      <c r="F387" s="76"/>
      <c r="G387" s="51"/>
      <c r="H387" s="51"/>
      <c r="I387" s="51"/>
      <c r="J387" s="51"/>
    </row>
    <row r="388" customFormat="false" ht="15" hidden="false" customHeight="false" outlineLevel="0" collapsed="false">
      <c r="A388" s="65"/>
      <c r="B388" s="51"/>
      <c r="C388" s="51"/>
      <c r="D388" s="51"/>
      <c r="E388" s="60" t="str">
        <f aca="false">IF(D388="","",IFERROR(INDEX(Settings!$C$16:$C$45,MATCH(D388,Settings!$B$16:$B$45,0)),"Check category"))</f>
        <v/>
      </c>
      <c r="F388" s="76"/>
      <c r="G388" s="51"/>
      <c r="H388" s="51"/>
      <c r="I388" s="51"/>
      <c r="J388" s="51"/>
    </row>
    <row r="389" customFormat="false" ht="15" hidden="false" customHeight="false" outlineLevel="0" collapsed="false">
      <c r="A389" s="65"/>
      <c r="B389" s="51"/>
      <c r="C389" s="51"/>
      <c r="D389" s="51"/>
      <c r="E389" s="60" t="str">
        <f aca="false">IF(D389="","",IFERROR(INDEX(Settings!$C$16:$C$45,MATCH(D389,Settings!$B$16:$B$45,0)),"Check category"))</f>
        <v/>
      </c>
      <c r="F389" s="76"/>
      <c r="G389" s="51"/>
      <c r="H389" s="51"/>
      <c r="I389" s="51"/>
      <c r="J389" s="51"/>
    </row>
    <row r="390" customFormat="false" ht="15" hidden="false" customHeight="false" outlineLevel="0" collapsed="false">
      <c r="A390" s="65"/>
      <c r="B390" s="51"/>
      <c r="C390" s="51"/>
      <c r="D390" s="51"/>
      <c r="E390" s="60" t="str">
        <f aca="false">IF(D390="","",IFERROR(INDEX(Settings!$C$16:$C$45,MATCH(D390,Settings!$B$16:$B$45,0)),"Check category"))</f>
        <v/>
      </c>
      <c r="F390" s="76"/>
      <c r="G390" s="51"/>
      <c r="H390" s="51"/>
      <c r="I390" s="51"/>
      <c r="J390" s="51"/>
    </row>
    <row r="391" customFormat="false" ht="15" hidden="false" customHeight="false" outlineLevel="0" collapsed="false">
      <c r="A391" s="65"/>
      <c r="B391" s="51"/>
      <c r="C391" s="51"/>
      <c r="D391" s="51"/>
      <c r="E391" s="60" t="str">
        <f aca="false">IF(D391="","",IFERROR(INDEX(Settings!$C$16:$C$45,MATCH(D391,Settings!$B$16:$B$45,0)),"Check category"))</f>
        <v/>
      </c>
      <c r="F391" s="76"/>
      <c r="G391" s="51"/>
      <c r="H391" s="51"/>
      <c r="I391" s="51"/>
      <c r="J391" s="51"/>
    </row>
    <row r="392" customFormat="false" ht="15" hidden="false" customHeight="false" outlineLevel="0" collapsed="false">
      <c r="A392" s="65"/>
      <c r="B392" s="51"/>
      <c r="C392" s="51"/>
      <c r="D392" s="51"/>
      <c r="E392" s="60" t="str">
        <f aca="false">IF(D392="","",IFERROR(INDEX(Settings!$C$16:$C$45,MATCH(D392,Settings!$B$16:$B$45,0)),"Check category"))</f>
        <v/>
      </c>
      <c r="F392" s="76"/>
      <c r="G392" s="51"/>
      <c r="H392" s="51"/>
      <c r="I392" s="51"/>
      <c r="J392" s="51"/>
    </row>
    <row r="393" customFormat="false" ht="15" hidden="false" customHeight="false" outlineLevel="0" collapsed="false">
      <c r="A393" s="65"/>
      <c r="B393" s="51"/>
      <c r="C393" s="51"/>
      <c r="D393" s="51"/>
      <c r="E393" s="60" t="str">
        <f aca="false">IF(D393="","",IFERROR(INDEX(Settings!$C$16:$C$45,MATCH(D393,Settings!$B$16:$B$45,0)),"Check category"))</f>
        <v/>
      </c>
      <c r="F393" s="76"/>
      <c r="G393" s="51"/>
      <c r="H393" s="51"/>
      <c r="I393" s="51"/>
      <c r="J393" s="51"/>
    </row>
    <row r="394" customFormat="false" ht="15" hidden="false" customHeight="false" outlineLevel="0" collapsed="false">
      <c r="A394" s="65"/>
      <c r="B394" s="51"/>
      <c r="C394" s="51"/>
      <c r="D394" s="51"/>
      <c r="E394" s="60" t="str">
        <f aca="false">IF(D394="","",IFERROR(INDEX(Settings!$C$16:$C$45,MATCH(D394,Settings!$B$16:$B$45,0)),"Check category"))</f>
        <v/>
      </c>
      <c r="F394" s="76"/>
      <c r="G394" s="51"/>
      <c r="H394" s="51"/>
      <c r="I394" s="51"/>
      <c r="J394" s="51"/>
    </row>
    <row r="395" customFormat="false" ht="15" hidden="false" customHeight="false" outlineLevel="0" collapsed="false">
      <c r="A395" s="65"/>
      <c r="B395" s="51"/>
      <c r="C395" s="51"/>
      <c r="D395" s="51"/>
      <c r="E395" s="60" t="str">
        <f aca="false">IF(D395="","",IFERROR(INDEX(Settings!$C$16:$C$45,MATCH(D395,Settings!$B$16:$B$45,0)),"Check category"))</f>
        <v/>
      </c>
      <c r="F395" s="76"/>
      <c r="G395" s="51"/>
      <c r="H395" s="51"/>
      <c r="I395" s="51"/>
      <c r="J395" s="51"/>
    </row>
    <row r="396" customFormat="false" ht="15" hidden="false" customHeight="false" outlineLevel="0" collapsed="false">
      <c r="A396" s="65"/>
      <c r="B396" s="51"/>
      <c r="C396" s="51"/>
      <c r="D396" s="51"/>
      <c r="E396" s="60" t="str">
        <f aca="false">IF(D396="","",IFERROR(INDEX(Settings!$C$16:$C$45,MATCH(D396,Settings!$B$16:$B$45,0)),"Check category"))</f>
        <v/>
      </c>
      <c r="F396" s="76"/>
      <c r="G396" s="51"/>
      <c r="H396" s="51"/>
      <c r="I396" s="51"/>
      <c r="J396" s="51"/>
    </row>
    <row r="397" customFormat="false" ht="15" hidden="false" customHeight="false" outlineLevel="0" collapsed="false">
      <c r="A397" s="65"/>
      <c r="B397" s="51"/>
      <c r="C397" s="51"/>
      <c r="D397" s="51"/>
      <c r="E397" s="60" t="str">
        <f aca="false">IF(D397="","",IFERROR(INDEX(Settings!$C$16:$C$45,MATCH(D397,Settings!$B$16:$B$45,0)),"Check category"))</f>
        <v/>
      </c>
      <c r="F397" s="76"/>
      <c r="G397" s="51"/>
      <c r="H397" s="51"/>
      <c r="I397" s="51"/>
      <c r="J397" s="51"/>
    </row>
    <row r="398" customFormat="false" ht="15" hidden="false" customHeight="false" outlineLevel="0" collapsed="false">
      <c r="A398" s="65"/>
      <c r="B398" s="51"/>
      <c r="C398" s="51"/>
      <c r="D398" s="51"/>
      <c r="E398" s="60" t="str">
        <f aca="false">IF(D398="","",IFERROR(INDEX(Settings!$C$16:$C$45,MATCH(D398,Settings!$B$16:$B$45,0)),"Check category"))</f>
        <v/>
      </c>
      <c r="F398" s="76"/>
      <c r="G398" s="51"/>
      <c r="H398" s="51"/>
      <c r="I398" s="51"/>
      <c r="J398" s="51"/>
    </row>
    <row r="399" customFormat="false" ht="15" hidden="false" customHeight="false" outlineLevel="0" collapsed="false">
      <c r="A399" s="65"/>
      <c r="B399" s="51"/>
      <c r="C399" s="51"/>
      <c r="D399" s="51"/>
      <c r="E399" s="60" t="str">
        <f aca="false">IF(D399="","",IFERROR(INDEX(Settings!$C$16:$C$45,MATCH(D399,Settings!$B$16:$B$45,0)),"Check category"))</f>
        <v/>
      </c>
      <c r="F399" s="76"/>
      <c r="G399" s="51"/>
      <c r="H399" s="51"/>
      <c r="I399" s="51"/>
      <c r="J399" s="51"/>
    </row>
    <row r="400" customFormat="false" ht="15" hidden="false" customHeight="false" outlineLevel="0" collapsed="false">
      <c r="A400" s="65"/>
      <c r="B400" s="51"/>
      <c r="C400" s="51"/>
      <c r="D400" s="51"/>
      <c r="E400" s="60" t="str">
        <f aca="false">IF(D400="","",IFERROR(INDEX(Settings!$C$16:$C$45,MATCH(D400,Settings!$B$16:$B$45,0)),"Check category"))</f>
        <v/>
      </c>
      <c r="F400" s="76"/>
      <c r="G400" s="51"/>
      <c r="H400" s="51"/>
      <c r="I400" s="51"/>
      <c r="J400" s="51"/>
    </row>
    <row r="401" customFormat="false" ht="15" hidden="false" customHeight="false" outlineLevel="0" collapsed="false">
      <c r="A401" s="65"/>
      <c r="B401" s="51"/>
      <c r="C401" s="51"/>
      <c r="D401" s="51"/>
      <c r="E401" s="60" t="str">
        <f aca="false">IF(D401="","",IFERROR(INDEX(Settings!$C$16:$C$45,MATCH(D401,Settings!$B$16:$B$45,0)),"Check category"))</f>
        <v/>
      </c>
      <c r="F401" s="76"/>
      <c r="G401" s="51"/>
      <c r="H401" s="51"/>
      <c r="I401" s="51"/>
      <c r="J401" s="51"/>
    </row>
    <row r="402" customFormat="false" ht="15" hidden="false" customHeight="false" outlineLevel="0" collapsed="false">
      <c r="A402" s="65"/>
      <c r="B402" s="51"/>
      <c r="C402" s="51"/>
      <c r="D402" s="51"/>
      <c r="E402" s="60" t="str">
        <f aca="false">IF(D402="","",IFERROR(INDEX(Settings!$C$16:$C$45,MATCH(D402,Settings!$B$16:$B$45,0)),"Check category"))</f>
        <v/>
      </c>
      <c r="F402" s="76"/>
      <c r="G402" s="51"/>
      <c r="H402" s="51"/>
      <c r="I402" s="51"/>
      <c r="J402" s="51"/>
    </row>
    <row r="403" customFormat="false" ht="15" hidden="false" customHeight="false" outlineLevel="0" collapsed="false">
      <c r="A403" s="65"/>
      <c r="B403" s="51"/>
      <c r="C403" s="51"/>
      <c r="D403" s="51"/>
      <c r="E403" s="60" t="str">
        <f aca="false">IF(D403="","",IFERROR(INDEX(Settings!$C$16:$C$45,MATCH(D403,Settings!$B$16:$B$45,0)),"Check category"))</f>
        <v/>
      </c>
      <c r="F403" s="76"/>
      <c r="G403" s="51"/>
      <c r="H403" s="51"/>
      <c r="I403" s="51"/>
      <c r="J403" s="51"/>
    </row>
    <row r="404" customFormat="false" ht="15" hidden="false" customHeight="false" outlineLevel="0" collapsed="false">
      <c r="A404" s="65"/>
      <c r="B404" s="51"/>
      <c r="C404" s="51"/>
      <c r="D404" s="51"/>
      <c r="E404" s="60" t="str">
        <f aca="false">IF(D404="","",IFERROR(INDEX(Settings!$C$16:$C$45,MATCH(D404,Settings!$B$16:$B$45,0)),"Check category"))</f>
        <v/>
      </c>
      <c r="F404" s="76"/>
      <c r="G404" s="51"/>
      <c r="H404" s="51"/>
      <c r="I404" s="51"/>
      <c r="J404" s="51"/>
    </row>
    <row r="405" customFormat="false" ht="15" hidden="false" customHeight="false" outlineLevel="0" collapsed="false">
      <c r="A405" s="65"/>
      <c r="B405" s="51"/>
      <c r="C405" s="51"/>
      <c r="D405" s="51"/>
      <c r="E405" s="60" t="str">
        <f aca="false">IF(D405="","",IFERROR(INDEX(Settings!$C$16:$C$45,MATCH(D405,Settings!$B$16:$B$45,0)),"Check category"))</f>
        <v/>
      </c>
      <c r="F405" s="76"/>
      <c r="G405" s="51"/>
      <c r="H405" s="51"/>
      <c r="I405" s="51"/>
      <c r="J405" s="51"/>
    </row>
    <row r="406" customFormat="false" ht="15" hidden="false" customHeight="false" outlineLevel="0" collapsed="false">
      <c r="A406" s="65"/>
      <c r="B406" s="51"/>
      <c r="C406" s="51"/>
      <c r="D406" s="51"/>
      <c r="E406" s="60" t="str">
        <f aca="false">IF(D406="","",IFERROR(INDEX(Settings!$C$16:$C$45,MATCH(D406,Settings!$B$16:$B$45,0)),"Check category"))</f>
        <v/>
      </c>
      <c r="F406" s="76"/>
      <c r="G406" s="51"/>
      <c r="H406" s="51"/>
      <c r="I406" s="51"/>
      <c r="J406" s="51"/>
    </row>
    <row r="407" customFormat="false" ht="15" hidden="false" customHeight="false" outlineLevel="0" collapsed="false">
      <c r="A407" s="65"/>
      <c r="B407" s="51"/>
      <c r="C407" s="51"/>
      <c r="D407" s="51"/>
      <c r="E407" s="60" t="str">
        <f aca="false">IF(D407="","",IFERROR(INDEX(Settings!$C$16:$C$45,MATCH(D407,Settings!$B$16:$B$45,0)),"Check category"))</f>
        <v/>
      </c>
      <c r="F407" s="76"/>
      <c r="G407" s="51"/>
      <c r="H407" s="51"/>
      <c r="I407" s="51"/>
      <c r="J407" s="51"/>
    </row>
    <row r="408" customFormat="false" ht="15" hidden="false" customHeight="false" outlineLevel="0" collapsed="false">
      <c r="A408" s="65"/>
      <c r="B408" s="51"/>
      <c r="C408" s="51"/>
      <c r="D408" s="51"/>
      <c r="E408" s="60" t="str">
        <f aca="false">IF(D408="","",IFERROR(INDEX(Settings!$C$16:$C$45,MATCH(D408,Settings!$B$16:$B$45,0)),"Check category"))</f>
        <v/>
      </c>
      <c r="F408" s="76"/>
      <c r="G408" s="51"/>
      <c r="H408" s="51"/>
      <c r="I408" s="51"/>
      <c r="J408" s="51"/>
    </row>
    <row r="409" customFormat="false" ht="15" hidden="false" customHeight="false" outlineLevel="0" collapsed="false">
      <c r="A409" s="65"/>
      <c r="B409" s="51"/>
      <c r="C409" s="51"/>
      <c r="D409" s="51"/>
      <c r="E409" s="60" t="str">
        <f aca="false">IF(D409="","",IFERROR(INDEX(Settings!$C$16:$C$45,MATCH(D409,Settings!$B$16:$B$45,0)),"Check category"))</f>
        <v/>
      </c>
      <c r="F409" s="76"/>
      <c r="G409" s="51"/>
      <c r="H409" s="51"/>
      <c r="I409" s="51"/>
      <c r="J409" s="51"/>
    </row>
    <row r="410" customFormat="false" ht="15" hidden="false" customHeight="false" outlineLevel="0" collapsed="false">
      <c r="A410" s="65"/>
      <c r="B410" s="51"/>
      <c r="C410" s="51"/>
      <c r="D410" s="51"/>
      <c r="E410" s="60" t="str">
        <f aca="false">IF(D410="","",IFERROR(INDEX(Settings!$C$16:$C$45,MATCH(D410,Settings!$B$16:$B$45,0)),"Check category"))</f>
        <v/>
      </c>
      <c r="F410" s="76"/>
      <c r="G410" s="51"/>
      <c r="H410" s="51"/>
      <c r="I410" s="51"/>
      <c r="J410" s="51"/>
    </row>
    <row r="411" customFormat="false" ht="15" hidden="false" customHeight="false" outlineLevel="0" collapsed="false">
      <c r="A411" s="65"/>
      <c r="B411" s="51"/>
      <c r="C411" s="51"/>
      <c r="D411" s="51"/>
      <c r="E411" s="60" t="str">
        <f aca="false">IF(D411="","",IFERROR(INDEX(Settings!$C$16:$C$45,MATCH(D411,Settings!$B$16:$B$45,0)),"Check category"))</f>
        <v/>
      </c>
      <c r="F411" s="76"/>
      <c r="G411" s="51"/>
      <c r="H411" s="51"/>
      <c r="I411" s="51"/>
      <c r="J411" s="51"/>
    </row>
    <row r="412" customFormat="false" ht="15" hidden="false" customHeight="false" outlineLevel="0" collapsed="false">
      <c r="A412" s="65"/>
      <c r="B412" s="51"/>
      <c r="C412" s="51"/>
      <c r="D412" s="51"/>
      <c r="E412" s="60" t="str">
        <f aca="false">IF(D412="","",IFERROR(INDEX(Settings!$C$16:$C$45,MATCH(D412,Settings!$B$16:$B$45,0)),"Check category"))</f>
        <v/>
      </c>
      <c r="F412" s="76"/>
      <c r="G412" s="51"/>
      <c r="H412" s="51"/>
      <c r="I412" s="51"/>
      <c r="J412" s="51"/>
    </row>
    <row r="413" customFormat="false" ht="15" hidden="false" customHeight="false" outlineLevel="0" collapsed="false">
      <c r="A413" s="65"/>
      <c r="B413" s="51"/>
      <c r="C413" s="51"/>
      <c r="D413" s="51"/>
      <c r="E413" s="60" t="str">
        <f aca="false">IF(D413="","",IFERROR(INDEX(Settings!$C$16:$C$45,MATCH(D413,Settings!$B$16:$B$45,0)),"Check category"))</f>
        <v/>
      </c>
      <c r="F413" s="76"/>
      <c r="G413" s="51"/>
      <c r="H413" s="51"/>
      <c r="I413" s="51"/>
      <c r="J413" s="51"/>
    </row>
    <row r="414" customFormat="false" ht="15" hidden="false" customHeight="false" outlineLevel="0" collapsed="false">
      <c r="A414" s="65"/>
      <c r="B414" s="51"/>
      <c r="C414" s="51"/>
      <c r="D414" s="51"/>
      <c r="E414" s="60" t="str">
        <f aca="false">IF(D414="","",IFERROR(INDEX(Settings!$C$16:$C$45,MATCH(D414,Settings!$B$16:$B$45,0)),"Check category"))</f>
        <v/>
      </c>
      <c r="F414" s="76"/>
      <c r="G414" s="51"/>
      <c r="H414" s="51"/>
      <c r="I414" s="51"/>
      <c r="J414" s="51"/>
    </row>
    <row r="415" customFormat="false" ht="15" hidden="false" customHeight="false" outlineLevel="0" collapsed="false">
      <c r="A415" s="65"/>
      <c r="B415" s="51"/>
      <c r="C415" s="51"/>
      <c r="D415" s="51"/>
      <c r="E415" s="60" t="str">
        <f aca="false">IF(D415="","",IFERROR(INDEX(Settings!$C$16:$C$45,MATCH(D415,Settings!$B$16:$B$45,0)),"Check category"))</f>
        <v/>
      </c>
      <c r="F415" s="76"/>
      <c r="G415" s="51"/>
      <c r="H415" s="51"/>
      <c r="I415" s="51"/>
      <c r="J415" s="51"/>
    </row>
    <row r="416" customFormat="false" ht="15" hidden="false" customHeight="false" outlineLevel="0" collapsed="false">
      <c r="A416" s="65"/>
      <c r="B416" s="51"/>
      <c r="C416" s="51"/>
      <c r="D416" s="51"/>
      <c r="E416" s="60" t="str">
        <f aca="false">IF(D416="","",IFERROR(INDEX(Settings!$C$16:$C$45,MATCH(D416,Settings!$B$16:$B$45,0)),"Check category"))</f>
        <v/>
      </c>
      <c r="F416" s="76"/>
      <c r="G416" s="51"/>
      <c r="H416" s="51"/>
      <c r="I416" s="51"/>
      <c r="J416" s="51"/>
    </row>
    <row r="417" customFormat="false" ht="15" hidden="false" customHeight="false" outlineLevel="0" collapsed="false">
      <c r="A417" s="65"/>
      <c r="B417" s="51"/>
      <c r="C417" s="51"/>
      <c r="D417" s="51"/>
      <c r="E417" s="60" t="str">
        <f aca="false">IF(D417="","",IFERROR(INDEX(Settings!$C$16:$C$45,MATCH(D417,Settings!$B$16:$B$45,0)),"Check category"))</f>
        <v/>
      </c>
      <c r="F417" s="76"/>
      <c r="G417" s="51"/>
      <c r="H417" s="51"/>
      <c r="I417" s="51"/>
      <c r="J417" s="51"/>
    </row>
    <row r="418" customFormat="false" ht="15" hidden="false" customHeight="false" outlineLevel="0" collapsed="false">
      <c r="A418" s="65"/>
      <c r="B418" s="51"/>
      <c r="C418" s="51"/>
      <c r="D418" s="51"/>
      <c r="E418" s="60" t="str">
        <f aca="false">IF(D418="","",IFERROR(INDEX(Settings!$C$16:$C$45,MATCH(D418,Settings!$B$16:$B$45,0)),"Check category"))</f>
        <v/>
      </c>
      <c r="F418" s="76"/>
      <c r="G418" s="51"/>
      <c r="H418" s="51"/>
      <c r="I418" s="51"/>
      <c r="J418" s="51"/>
    </row>
    <row r="419" customFormat="false" ht="15" hidden="false" customHeight="false" outlineLevel="0" collapsed="false">
      <c r="A419" s="65"/>
      <c r="B419" s="51"/>
      <c r="C419" s="51"/>
      <c r="D419" s="51"/>
      <c r="E419" s="60" t="str">
        <f aca="false">IF(D419="","",IFERROR(INDEX(Settings!$C$16:$C$45,MATCH(D419,Settings!$B$16:$B$45,0)),"Check category"))</f>
        <v/>
      </c>
      <c r="F419" s="76"/>
      <c r="G419" s="51"/>
      <c r="H419" s="51"/>
      <c r="I419" s="51"/>
      <c r="J419" s="51"/>
    </row>
    <row r="420" customFormat="false" ht="15" hidden="false" customHeight="false" outlineLevel="0" collapsed="false">
      <c r="A420" s="65"/>
      <c r="B420" s="51"/>
      <c r="C420" s="51"/>
      <c r="D420" s="51"/>
      <c r="E420" s="60" t="str">
        <f aca="false">IF(D420="","",IFERROR(INDEX(Settings!$C$16:$C$45,MATCH(D420,Settings!$B$16:$B$45,0)),"Check category"))</f>
        <v/>
      </c>
      <c r="F420" s="76"/>
      <c r="G420" s="51"/>
      <c r="H420" s="51"/>
      <c r="I420" s="51"/>
      <c r="J420" s="51"/>
    </row>
    <row r="421" customFormat="false" ht="15" hidden="false" customHeight="false" outlineLevel="0" collapsed="false">
      <c r="A421" s="65"/>
      <c r="B421" s="51"/>
      <c r="C421" s="51"/>
      <c r="D421" s="51"/>
      <c r="E421" s="60" t="str">
        <f aca="false">IF(D421="","",IFERROR(INDEX(Settings!$C$16:$C$45,MATCH(D421,Settings!$B$16:$B$45,0)),"Check category"))</f>
        <v/>
      </c>
      <c r="F421" s="76"/>
      <c r="G421" s="51"/>
      <c r="H421" s="51"/>
      <c r="I421" s="51"/>
      <c r="J421" s="51"/>
    </row>
    <row r="422" customFormat="false" ht="15" hidden="false" customHeight="false" outlineLevel="0" collapsed="false">
      <c r="A422" s="65"/>
      <c r="B422" s="51"/>
      <c r="C422" s="51"/>
      <c r="D422" s="51"/>
      <c r="E422" s="60" t="str">
        <f aca="false">IF(D422="","",IFERROR(INDEX(Settings!$C$16:$C$45,MATCH(D422,Settings!$B$16:$B$45,0)),"Check category"))</f>
        <v/>
      </c>
      <c r="F422" s="76"/>
      <c r="G422" s="51"/>
      <c r="H422" s="51"/>
      <c r="I422" s="51"/>
      <c r="J422" s="51"/>
    </row>
    <row r="423" customFormat="false" ht="15" hidden="false" customHeight="false" outlineLevel="0" collapsed="false">
      <c r="A423" s="65"/>
      <c r="B423" s="51"/>
      <c r="C423" s="51"/>
      <c r="D423" s="51"/>
      <c r="E423" s="60" t="str">
        <f aca="false">IF(D423="","",IFERROR(INDEX(Settings!$C$16:$C$45,MATCH(D423,Settings!$B$16:$B$45,0)),"Check category"))</f>
        <v/>
      </c>
      <c r="F423" s="76"/>
      <c r="G423" s="51"/>
      <c r="H423" s="51"/>
      <c r="I423" s="51"/>
      <c r="J423" s="51"/>
    </row>
    <row r="424" customFormat="false" ht="15" hidden="false" customHeight="false" outlineLevel="0" collapsed="false">
      <c r="A424" s="65"/>
      <c r="B424" s="51"/>
      <c r="C424" s="51"/>
      <c r="D424" s="51"/>
      <c r="E424" s="60" t="str">
        <f aca="false">IF(D424="","",IFERROR(INDEX(Settings!$C$16:$C$45,MATCH(D424,Settings!$B$16:$B$45,0)),"Check category"))</f>
        <v/>
      </c>
      <c r="F424" s="76"/>
      <c r="G424" s="51"/>
      <c r="H424" s="51"/>
      <c r="I424" s="51"/>
      <c r="J424" s="51"/>
    </row>
    <row r="425" customFormat="false" ht="15" hidden="false" customHeight="false" outlineLevel="0" collapsed="false">
      <c r="A425" s="65"/>
      <c r="B425" s="51"/>
      <c r="C425" s="51"/>
      <c r="D425" s="51"/>
      <c r="E425" s="60" t="str">
        <f aca="false">IF(D425="","",IFERROR(INDEX(Settings!$C$16:$C$45,MATCH(D425,Settings!$B$16:$B$45,0)),"Check category"))</f>
        <v/>
      </c>
      <c r="F425" s="76"/>
      <c r="G425" s="51"/>
      <c r="H425" s="51"/>
      <c r="I425" s="51"/>
      <c r="J425" s="51"/>
    </row>
    <row r="426" customFormat="false" ht="15" hidden="false" customHeight="false" outlineLevel="0" collapsed="false">
      <c r="A426" s="65"/>
      <c r="B426" s="51"/>
      <c r="C426" s="51"/>
      <c r="D426" s="51"/>
      <c r="E426" s="60" t="str">
        <f aca="false">IF(D426="","",IFERROR(INDEX(Settings!$C$16:$C$45,MATCH(D426,Settings!$B$16:$B$45,0)),"Check category"))</f>
        <v/>
      </c>
      <c r="F426" s="76"/>
      <c r="G426" s="51"/>
      <c r="H426" s="51"/>
      <c r="I426" s="51"/>
      <c r="J426" s="51"/>
    </row>
    <row r="427" customFormat="false" ht="15" hidden="false" customHeight="false" outlineLevel="0" collapsed="false">
      <c r="A427" s="65"/>
      <c r="B427" s="51"/>
      <c r="C427" s="51"/>
      <c r="D427" s="51"/>
      <c r="E427" s="60" t="str">
        <f aca="false">IF(D427="","",IFERROR(INDEX(Settings!$C$16:$C$45,MATCH(D427,Settings!$B$16:$B$45,0)),"Check category"))</f>
        <v/>
      </c>
      <c r="F427" s="76"/>
      <c r="G427" s="51"/>
      <c r="H427" s="51"/>
      <c r="I427" s="51"/>
      <c r="J427" s="51"/>
    </row>
    <row r="428" customFormat="false" ht="15" hidden="false" customHeight="false" outlineLevel="0" collapsed="false">
      <c r="A428" s="65"/>
      <c r="B428" s="51"/>
      <c r="C428" s="51"/>
      <c r="D428" s="51"/>
      <c r="E428" s="60" t="str">
        <f aca="false">IF(D428="","",IFERROR(INDEX(Settings!$C$16:$C$45,MATCH(D428,Settings!$B$16:$B$45,0)),"Check category"))</f>
        <v/>
      </c>
      <c r="F428" s="76"/>
      <c r="G428" s="51"/>
      <c r="H428" s="51"/>
      <c r="I428" s="51"/>
      <c r="J428" s="51"/>
    </row>
    <row r="429" customFormat="false" ht="15" hidden="false" customHeight="false" outlineLevel="0" collapsed="false">
      <c r="A429" s="65"/>
      <c r="B429" s="51"/>
      <c r="C429" s="51"/>
      <c r="D429" s="51"/>
      <c r="E429" s="60" t="str">
        <f aca="false">IF(D429="","",IFERROR(INDEX(Settings!$C$16:$C$45,MATCH(D429,Settings!$B$16:$B$45,0)),"Check category"))</f>
        <v/>
      </c>
      <c r="F429" s="76"/>
      <c r="G429" s="51"/>
      <c r="H429" s="51"/>
      <c r="I429" s="51"/>
      <c r="J429" s="51"/>
    </row>
    <row r="430" customFormat="false" ht="15" hidden="false" customHeight="false" outlineLevel="0" collapsed="false">
      <c r="A430" s="65"/>
      <c r="B430" s="51"/>
      <c r="C430" s="51"/>
      <c r="D430" s="51"/>
      <c r="E430" s="60" t="str">
        <f aca="false">IF(D430="","",IFERROR(INDEX(Settings!$C$16:$C$45,MATCH(D430,Settings!$B$16:$B$45,0)),"Check category"))</f>
        <v/>
      </c>
      <c r="F430" s="76"/>
      <c r="G430" s="51"/>
      <c r="H430" s="51"/>
      <c r="I430" s="51"/>
      <c r="J430" s="51"/>
    </row>
    <row r="431" customFormat="false" ht="15" hidden="false" customHeight="false" outlineLevel="0" collapsed="false">
      <c r="A431" s="65"/>
      <c r="B431" s="51"/>
      <c r="C431" s="51"/>
      <c r="D431" s="51"/>
      <c r="E431" s="60" t="str">
        <f aca="false">IF(D431="","",IFERROR(INDEX(Settings!$C$16:$C$45,MATCH(D431,Settings!$B$16:$B$45,0)),"Check category"))</f>
        <v/>
      </c>
      <c r="F431" s="76"/>
      <c r="G431" s="51"/>
      <c r="H431" s="51"/>
      <c r="I431" s="51"/>
      <c r="J431" s="51"/>
    </row>
    <row r="432" customFormat="false" ht="15" hidden="false" customHeight="false" outlineLevel="0" collapsed="false">
      <c r="A432" s="65"/>
      <c r="B432" s="51"/>
      <c r="C432" s="51"/>
      <c r="D432" s="51"/>
      <c r="E432" s="60" t="str">
        <f aca="false">IF(D432="","",IFERROR(INDEX(Settings!$C$16:$C$45,MATCH(D432,Settings!$B$16:$B$45,0)),"Check category"))</f>
        <v/>
      </c>
      <c r="F432" s="76"/>
      <c r="G432" s="51"/>
      <c r="H432" s="51"/>
      <c r="I432" s="51"/>
      <c r="J432" s="51"/>
    </row>
    <row r="433" customFormat="false" ht="15" hidden="false" customHeight="false" outlineLevel="0" collapsed="false">
      <c r="A433" s="65"/>
      <c r="B433" s="51"/>
      <c r="C433" s="51"/>
      <c r="D433" s="51"/>
      <c r="E433" s="60" t="str">
        <f aca="false">IF(D433="","",IFERROR(INDEX(Settings!$C$16:$C$45,MATCH(D433,Settings!$B$16:$B$45,0)),"Check category"))</f>
        <v/>
      </c>
      <c r="F433" s="76"/>
      <c r="G433" s="51"/>
      <c r="H433" s="51"/>
      <c r="I433" s="51"/>
      <c r="J433" s="51"/>
    </row>
    <row r="434" customFormat="false" ht="15" hidden="false" customHeight="false" outlineLevel="0" collapsed="false">
      <c r="A434" s="65"/>
      <c r="B434" s="51"/>
      <c r="C434" s="51"/>
      <c r="D434" s="51"/>
      <c r="E434" s="60" t="str">
        <f aca="false">IF(D434="","",IFERROR(INDEX(Settings!$C$16:$C$45,MATCH(D434,Settings!$B$16:$B$45,0)),"Check category"))</f>
        <v/>
      </c>
      <c r="F434" s="76"/>
      <c r="G434" s="51"/>
      <c r="H434" s="51"/>
      <c r="I434" s="51"/>
      <c r="J434" s="51"/>
    </row>
    <row r="435" customFormat="false" ht="15" hidden="false" customHeight="false" outlineLevel="0" collapsed="false">
      <c r="A435" s="65"/>
      <c r="B435" s="51"/>
      <c r="C435" s="51"/>
      <c r="D435" s="51"/>
      <c r="E435" s="60" t="str">
        <f aca="false">IF(D435="","",IFERROR(INDEX(Settings!$C$16:$C$45,MATCH(D435,Settings!$B$16:$B$45,0)),"Check category"))</f>
        <v/>
      </c>
      <c r="F435" s="76"/>
      <c r="G435" s="51"/>
      <c r="H435" s="51"/>
      <c r="I435" s="51"/>
      <c r="J435" s="51"/>
    </row>
    <row r="436" customFormat="false" ht="15" hidden="false" customHeight="false" outlineLevel="0" collapsed="false">
      <c r="A436" s="65"/>
      <c r="B436" s="51"/>
      <c r="C436" s="51"/>
      <c r="D436" s="51"/>
      <c r="E436" s="60" t="str">
        <f aca="false">IF(D436="","",IFERROR(INDEX(Settings!$C$16:$C$45,MATCH(D436,Settings!$B$16:$B$45,0)),"Check category"))</f>
        <v/>
      </c>
      <c r="F436" s="76"/>
      <c r="G436" s="51"/>
      <c r="H436" s="51"/>
      <c r="I436" s="51"/>
      <c r="J436" s="51"/>
    </row>
    <row r="437" customFormat="false" ht="15" hidden="false" customHeight="false" outlineLevel="0" collapsed="false">
      <c r="A437" s="65"/>
      <c r="B437" s="51"/>
      <c r="C437" s="51"/>
      <c r="D437" s="51"/>
      <c r="E437" s="60" t="str">
        <f aca="false">IF(D437="","",IFERROR(INDEX(Settings!$C$16:$C$45,MATCH(D437,Settings!$B$16:$B$45,0)),"Check category"))</f>
        <v/>
      </c>
      <c r="F437" s="76"/>
      <c r="G437" s="51"/>
      <c r="H437" s="51"/>
      <c r="I437" s="51"/>
      <c r="J437" s="51"/>
    </row>
    <row r="438" customFormat="false" ht="15" hidden="false" customHeight="false" outlineLevel="0" collapsed="false">
      <c r="A438" s="65"/>
      <c r="B438" s="51"/>
      <c r="C438" s="51"/>
      <c r="D438" s="51"/>
      <c r="E438" s="60" t="str">
        <f aca="false">IF(D438="","",IFERROR(INDEX(Settings!$C$16:$C$45,MATCH(D438,Settings!$B$16:$B$45,0)),"Check category"))</f>
        <v/>
      </c>
      <c r="F438" s="76"/>
      <c r="G438" s="51"/>
      <c r="H438" s="51"/>
      <c r="I438" s="51"/>
      <c r="J438" s="51"/>
    </row>
    <row r="439" customFormat="false" ht="15" hidden="false" customHeight="false" outlineLevel="0" collapsed="false">
      <c r="A439" s="65"/>
      <c r="B439" s="51"/>
      <c r="C439" s="51"/>
      <c r="D439" s="51"/>
      <c r="E439" s="60" t="str">
        <f aca="false">IF(D439="","",IFERROR(INDEX(Settings!$C$16:$C$45,MATCH(D439,Settings!$B$16:$B$45,0)),"Check category"))</f>
        <v/>
      </c>
      <c r="F439" s="76"/>
      <c r="G439" s="51"/>
      <c r="H439" s="51"/>
      <c r="I439" s="51"/>
      <c r="J439" s="51"/>
    </row>
    <row r="440" customFormat="false" ht="15" hidden="false" customHeight="false" outlineLevel="0" collapsed="false">
      <c r="A440" s="65"/>
      <c r="B440" s="51"/>
      <c r="C440" s="51"/>
      <c r="D440" s="51"/>
      <c r="E440" s="60" t="str">
        <f aca="false">IF(D440="","",IFERROR(INDEX(Settings!$C$16:$C$45,MATCH(D440,Settings!$B$16:$B$45,0)),"Check category"))</f>
        <v/>
      </c>
      <c r="F440" s="76"/>
      <c r="G440" s="51"/>
      <c r="H440" s="51"/>
      <c r="I440" s="51"/>
      <c r="J440" s="51"/>
    </row>
    <row r="441" customFormat="false" ht="15" hidden="false" customHeight="false" outlineLevel="0" collapsed="false">
      <c r="A441" s="65"/>
      <c r="B441" s="51"/>
      <c r="C441" s="51"/>
      <c r="D441" s="51"/>
      <c r="E441" s="60" t="str">
        <f aca="false">IF(D441="","",IFERROR(INDEX(Settings!$C$16:$C$45,MATCH(D441,Settings!$B$16:$B$45,0)),"Check category"))</f>
        <v/>
      </c>
      <c r="F441" s="76"/>
      <c r="G441" s="51"/>
      <c r="H441" s="51"/>
      <c r="I441" s="51"/>
      <c r="J441" s="51"/>
    </row>
    <row r="442" customFormat="false" ht="15" hidden="false" customHeight="false" outlineLevel="0" collapsed="false">
      <c r="A442" s="65"/>
      <c r="B442" s="51"/>
      <c r="C442" s="51"/>
      <c r="D442" s="51"/>
      <c r="E442" s="60" t="str">
        <f aca="false">IF(D442="","",IFERROR(INDEX(Settings!$C$16:$C$45,MATCH(D442,Settings!$B$16:$B$45,0)),"Check category"))</f>
        <v/>
      </c>
      <c r="F442" s="76"/>
      <c r="G442" s="51"/>
      <c r="H442" s="51"/>
      <c r="I442" s="51"/>
      <c r="J442" s="51"/>
    </row>
    <row r="443" customFormat="false" ht="15" hidden="false" customHeight="false" outlineLevel="0" collapsed="false">
      <c r="A443" s="65"/>
      <c r="B443" s="51"/>
      <c r="C443" s="51"/>
      <c r="D443" s="51"/>
      <c r="E443" s="60" t="str">
        <f aca="false">IF(D443="","",IFERROR(INDEX(Settings!$C$16:$C$45,MATCH(D443,Settings!$B$16:$B$45,0)),"Check category"))</f>
        <v/>
      </c>
      <c r="F443" s="76"/>
      <c r="G443" s="51"/>
      <c r="H443" s="51"/>
      <c r="I443" s="51"/>
      <c r="J443" s="51"/>
    </row>
    <row r="444" customFormat="false" ht="15" hidden="false" customHeight="false" outlineLevel="0" collapsed="false">
      <c r="A444" s="65"/>
      <c r="B444" s="51"/>
      <c r="C444" s="51"/>
      <c r="D444" s="51"/>
      <c r="E444" s="60" t="str">
        <f aca="false">IF(D444="","",IFERROR(INDEX(Settings!$C$16:$C$45,MATCH(D444,Settings!$B$16:$B$45,0)),"Check category"))</f>
        <v/>
      </c>
      <c r="F444" s="76"/>
      <c r="G444" s="51"/>
      <c r="H444" s="51"/>
      <c r="I444" s="51"/>
      <c r="J444" s="51"/>
    </row>
    <row r="445" customFormat="false" ht="15" hidden="false" customHeight="false" outlineLevel="0" collapsed="false">
      <c r="A445" s="65"/>
      <c r="B445" s="51"/>
      <c r="C445" s="51"/>
      <c r="D445" s="51"/>
      <c r="E445" s="60" t="str">
        <f aca="false">IF(D445="","",IFERROR(INDEX(Settings!$C$16:$C$45,MATCH(D445,Settings!$B$16:$B$45,0)),"Check category"))</f>
        <v/>
      </c>
      <c r="F445" s="76"/>
      <c r="G445" s="51"/>
      <c r="H445" s="51"/>
      <c r="I445" s="51"/>
      <c r="J445" s="51"/>
    </row>
    <row r="446" customFormat="false" ht="15" hidden="false" customHeight="false" outlineLevel="0" collapsed="false">
      <c r="A446" s="65"/>
      <c r="B446" s="51"/>
      <c r="C446" s="51"/>
      <c r="D446" s="51"/>
      <c r="E446" s="60" t="str">
        <f aca="false">IF(D446="","",IFERROR(INDEX(Settings!$C$16:$C$45,MATCH(D446,Settings!$B$16:$B$45,0)),"Check category"))</f>
        <v/>
      </c>
      <c r="F446" s="76"/>
      <c r="G446" s="51"/>
      <c r="H446" s="51"/>
      <c r="I446" s="51"/>
      <c r="J446" s="51"/>
    </row>
    <row r="447" customFormat="false" ht="15" hidden="false" customHeight="false" outlineLevel="0" collapsed="false">
      <c r="A447" s="65"/>
      <c r="B447" s="51"/>
      <c r="C447" s="51"/>
      <c r="D447" s="51"/>
      <c r="E447" s="60" t="str">
        <f aca="false">IF(D447="","",IFERROR(INDEX(Settings!$C$16:$C$45,MATCH(D447,Settings!$B$16:$B$45,0)),"Check category"))</f>
        <v/>
      </c>
      <c r="F447" s="76"/>
      <c r="G447" s="51"/>
      <c r="H447" s="51"/>
      <c r="I447" s="51"/>
      <c r="J447" s="51"/>
    </row>
    <row r="448" customFormat="false" ht="15" hidden="false" customHeight="false" outlineLevel="0" collapsed="false">
      <c r="A448" s="65"/>
      <c r="B448" s="51"/>
      <c r="C448" s="51"/>
      <c r="D448" s="51"/>
      <c r="E448" s="60" t="str">
        <f aca="false">IF(D448="","",IFERROR(INDEX(Settings!$C$16:$C$45,MATCH(D448,Settings!$B$16:$B$45,0)),"Check category"))</f>
        <v/>
      </c>
      <c r="F448" s="76"/>
      <c r="G448" s="51"/>
      <c r="H448" s="51"/>
      <c r="I448" s="51"/>
      <c r="J448" s="51"/>
    </row>
    <row r="449" customFormat="false" ht="15" hidden="false" customHeight="false" outlineLevel="0" collapsed="false">
      <c r="A449" s="65"/>
      <c r="B449" s="51"/>
      <c r="C449" s="51"/>
      <c r="D449" s="51"/>
      <c r="E449" s="60" t="str">
        <f aca="false">IF(D449="","",IFERROR(INDEX(Settings!$C$16:$C$45,MATCH(D449,Settings!$B$16:$B$45,0)),"Check category"))</f>
        <v/>
      </c>
      <c r="F449" s="76"/>
      <c r="G449" s="51"/>
      <c r="H449" s="51"/>
      <c r="I449" s="51"/>
      <c r="J449" s="51"/>
    </row>
    <row r="450" customFormat="false" ht="15" hidden="false" customHeight="false" outlineLevel="0" collapsed="false">
      <c r="A450" s="65"/>
      <c r="B450" s="51"/>
      <c r="C450" s="51"/>
      <c r="D450" s="51"/>
      <c r="E450" s="60" t="str">
        <f aca="false">IF(D450="","",IFERROR(INDEX(Settings!$C$16:$C$45,MATCH(D450,Settings!$B$16:$B$45,0)),"Check category"))</f>
        <v/>
      </c>
      <c r="F450" s="76"/>
      <c r="G450" s="51"/>
      <c r="H450" s="51"/>
      <c r="I450" s="51"/>
      <c r="J450" s="51"/>
    </row>
    <row r="451" customFormat="false" ht="15" hidden="false" customHeight="false" outlineLevel="0" collapsed="false">
      <c r="A451" s="65"/>
      <c r="B451" s="51"/>
      <c r="C451" s="51"/>
      <c r="D451" s="51"/>
      <c r="E451" s="60" t="str">
        <f aca="false">IF(D451="","",IFERROR(INDEX(Settings!$C$16:$C$45,MATCH(D451,Settings!$B$16:$B$45,0)),"Check category"))</f>
        <v/>
      </c>
      <c r="F451" s="76"/>
      <c r="G451" s="51"/>
      <c r="H451" s="51"/>
      <c r="I451" s="51"/>
      <c r="J451" s="51"/>
    </row>
    <row r="452" customFormat="false" ht="15" hidden="false" customHeight="false" outlineLevel="0" collapsed="false">
      <c r="A452" s="65"/>
      <c r="B452" s="51"/>
      <c r="C452" s="51"/>
      <c r="D452" s="51"/>
      <c r="E452" s="60" t="str">
        <f aca="false">IF(D452="","",IFERROR(INDEX(Settings!$C$16:$C$45,MATCH(D452,Settings!$B$16:$B$45,0)),"Check category"))</f>
        <v/>
      </c>
      <c r="F452" s="76"/>
      <c r="G452" s="51"/>
      <c r="H452" s="51"/>
      <c r="I452" s="51"/>
      <c r="J452" s="51"/>
    </row>
    <row r="453" customFormat="false" ht="15" hidden="false" customHeight="false" outlineLevel="0" collapsed="false">
      <c r="A453" s="65"/>
      <c r="B453" s="51"/>
      <c r="C453" s="51"/>
      <c r="D453" s="51"/>
      <c r="E453" s="60" t="str">
        <f aca="false">IF(D453="","",IFERROR(INDEX(Settings!$C$16:$C$45,MATCH(D453,Settings!$B$16:$B$45,0)),"Check category"))</f>
        <v/>
      </c>
      <c r="F453" s="76"/>
      <c r="G453" s="51"/>
      <c r="H453" s="51"/>
      <c r="I453" s="51"/>
      <c r="J453" s="51"/>
    </row>
    <row r="454" customFormat="false" ht="15" hidden="false" customHeight="false" outlineLevel="0" collapsed="false">
      <c r="A454" s="65"/>
      <c r="B454" s="51"/>
      <c r="C454" s="51"/>
      <c r="D454" s="51"/>
      <c r="E454" s="60" t="str">
        <f aca="false">IF(D454="","",IFERROR(INDEX(Settings!$C$16:$C$45,MATCH(D454,Settings!$B$16:$B$45,0)),"Check category"))</f>
        <v/>
      </c>
      <c r="F454" s="76"/>
      <c r="G454" s="51"/>
      <c r="H454" s="51"/>
      <c r="I454" s="51"/>
      <c r="J454" s="51"/>
    </row>
    <row r="455" customFormat="false" ht="15" hidden="false" customHeight="false" outlineLevel="0" collapsed="false">
      <c r="A455" s="65"/>
      <c r="B455" s="51"/>
      <c r="C455" s="51"/>
      <c r="D455" s="51"/>
      <c r="E455" s="60" t="str">
        <f aca="false">IF(D455="","",IFERROR(INDEX(Settings!$C$16:$C$45,MATCH(D455,Settings!$B$16:$B$45,0)),"Check category"))</f>
        <v/>
      </c>
      <c r="F455" s="76"/>
      <c r="G455" s="51"/>
      <c r="H455" s="51"/>
      <c r="I455" s="51"/>
      <c r="J455" s="51"/>
    </row>
    <row r="456" customFormat="false" ht="15" hidden="false" customHeight="false" outlineLevel="0" collapsed="false">
      <c r="A456" s="65"/>
      <c r="B456" s="51"/>
      <c r="C456" s="51"/>
      <c r="D456" s="51"/>
      <c r="E456" s="60" t="str">
        <f aca="false">IF(D456="","",IFERROR(INDEX(Settings!$C$16:$C$45,MATCH(D456,Settings!$B$16:$B$45,0)),"Check category"))</f>
        <v/>
      </c>
      <c r="F456" s="76"/>
      <c r="G456" s="51"/>
      <c r="H456" s="51"/>
      <c r="I456" s="51"/>
      <c r="J456" s="51"/>
    </row>
    <row r="457" customFormat="false" ht="15" hidden="false" customHeight="false" outlineLevel="0" collapsed="false">
      <c r="A457" s="65"/>
      <c r="B457" s="51"/>
      <c r="C457" s="51"/>
      <c r="D457" s="51"/>
      <c r="E457" s="60" t="str">
        <f aca="false">IF(D457="","",IFERROR(INDEX(Settings!$C$16:$C$45,MATCH(D457,Settings!$B$16:$B$45,0)),"Check category"))</f>
        <v/>
      </c>
      <c r="F457" s="76"/>
      <c r="G457" s="51"/>
      <c r="H457" s="51"/>
      <c r="I457" s="51"/>
      <c r="J457" s="51"/>
    </row>
    <row r="458" customFormat="false" ht="15" hidden="false" customHeight="false" outlineLevel="0" collapsed="false">
      <c r="A458" s="65"/>
      <c r="B458" s="51"/>
      <c r="C458" s="51"/>
      <c r="D458" s="51"/>
      <c r="E458" s="60" t="str">
        <f aca="false">IF(D458="","",IFERROR(INDEX(Settings!$C$16:$C$45,MATCH(D458,Settings!$B$16:$B$45,0)),"Check category"))</f>
        <v/>
      </c>
      <c r="F458" s="76"/>
      <c r="G458" s="51"/>
      <c r="H458" s="51"/>
      <c r="I458" s="51"/>
      <c r="J458" s="51"/>
    </row>
    <row r="459" customFormat="false" ht="15" hidden="false" customHeight="false" outlineLevel="0" collapsed="false">
      <c r="A459" s="65"/>
      <c r="B459" s="51"/>
      <c r="C459" s="51"/>
      <c r="D459" s="51"/>
      <c r="E459" s="60" t="str">
        <f aca="false">IF(D459="","",IFERROR(INDEX(Settings!$C$16:$C$45,MATCH(D459,Settings!$B$16:$B$45,0)),"Check category"))</f>
        <v/>
      </c>
      <c r="F459" s="76"/>
      <c r="G459" s="51"/>
      <c r="H459" s="51"/>
      <c r="I459" s="51"/>
      <c r="J459" s="51"/>
    </row>
    <row r="460" customFormat="false" ht="15" hidden="false" customHeight="false" outlineLevel="0" collapsed="false">
      <c r="A460" s="65"/>
      <c r="B460" s="51"/>
      <c r="C460" s="51"/>
      <c r="D460" s="51"/>
      <c r="E460" s="60" t="str">
        <f aca="false">IF(D460="","",IFERROR(INDEX(Settings!$C$16:$C$45,MATCH(D460,Settings!$B$16:$B$45,0)),"Check category"))</f>
        <v/>
      </c>
      <c r="F460" s="76"/>
      <c r="G460" s="51"/>
      <c r="H460" s="51"/>
      <c r="I460" s="51"/>
      <c r="J460" s="51"/>
    </row>
    <row r="461" customFormat="false" ht="15" hidden="false" customHeight="false" outlineLevel="0" collapsed="false">
      <c r="A461" s="65"/>
      <c r="B461" s="51"/>
      <c r="C461" s="51"/>
      <c r="D461" s="51"/>
      <c r="E461" s="60" t="str">
        <f aca="false">IF(D461="","",IFERROR(INDEX(Settings!$C$16:$C$45,MATCH(D461,Settings!$B$16:$B$45,0)),"Check category"))</f>
        <v/>
      </c>
      <c r="F461" s="76"/>
      <c r="G461" s="51"/>
      <c r="H461" s="51"/>
      <c r="I461" s="51"/>
      <c r="J461" s="51"/>
    </row>
    <row r="462" customFormat="false" ht="15" hidden="false" customHeight="false" outlineLevel="0" collapsed="false">
      <c r="A462" s="65"/>
      <c r="B462" s="51"/>
      <c r="C462" s="51"/>
      <c r="D462" s="51"/>
      <c r="E462" s="60" t="str">
        <f aca="false">IF(D462="","",IFERROR(INDEX(Settings!$C$16:$C$45,MATCH(D462,Settings!$B$16:$B$45,0)),"Check category"))</f>
        <v/>
      </c>
      <c r="F462" s="76"/>
      <c r="G462" s="51"/>
      <c r="H462" s="51"/>
      <c r="I462" s="51"/>
      <c r="J462" s="51"/>
    </row>
    <row r="463" customFormat="false" ht="15" hidden="false" customHeight="false" outlineLevel="0" collapsed="false">
      <c r="A463" s="65"/>
      <c r="B463" s="51"/>
      <c r="C463" s="51"/>
      <c r="D463" s="51"/>
      <c r="E463" s="60" t="str">
        <f aca="false">IF(D463="","",IFERROR(INDEX(Settings!$C$16:$C$45,MATCH(D463,Settings!$B$16:$B$45,0)),"Check category"))</f>
        <v/>
      </c>
      <c r="F463" s="76"/>
      <c r="G463" s="51"/>
      <c r="H463" s="51"/>
      <c r="I463" s="51"/>
      <c r="J463" s="51"/>
    </row>
    <row r="464" customFormat="false" ht="15" hidden="false" customHeight="false" outlineLevel="0" collapsed="false">
      <c r="A464" s="65"/>
      <c r="B464" s="51"/>
      <c r="C464" s="51"/>
      <c r="D464" s="51"/>
      <c r="E464" s="60" t="str">
        <f aca="false">IF(D464="","",IFERROR(INDEX(Settings!$C$16:$C$45,MATCH(D464,Settings!$B$16:$B$45,0)),"Check category"))</f>
        <v/>
      </c>
      <c r="F464" s="76"/>
      <c r="G464" s="51"/>
      <c r="H464" s="51"/>
      <c r="I464" s="51"/>
      <c r="J464" s="51"/>
    </row>
    <row r="465" customFormat="false" ht="15" hidden="false" customHeight="false" outlineLevel="0" collapsed="false">
      <c r="A465" s="65"/>
      <c r="B465" s="51"/>
      <c r="C465" s="51"/>
      <c r="D465" s="51"/>
      <c r="E465" s="60" t="str">
        <f aca="false">IF(D465="","",IFERROR(INDEX(Settings!$C$16:$C$45,MATCH(D465,Settings!$B$16:$B$45,0)),"Check category"))</f>
        <v/>
      </c>
      <c r="F465" s="76"/>
      <c r="G465" s="51"/>
      <c r="H465" s="51"/>
      <c r="I465" s="51"/>
      <c r="J465" s="51"/>
    </row>
    <row r="466" customFormat="false" ht="15" hidden="false" customHeight="false" outlineLevel="0" collapsed="false">
      <c r="A466" s="65"/>
      <c r="B466" s="51"/>
      <c r="C466" s="51"/>
      <c r="D466" s="51"/>
      <c r="E466" s="60" t="str">
        <f aca="false">IF(D466="","",IFERROR(INDEX(Settings!$C$16:$C$45,MATCH(D466,Settings!$B$16:$B$45,0)),"Check category"))</f>
        <v/>
      </c>
      <c r="F466" s="76"/>
      <c r="G466" s="51"/>
      <c r="H466" s="51"/>
      <c r="I466" s="51"/>
      <c r="J466" s="51"/>
    </row>
    <row r="467" customFormat="false" ht="15" hidden="false" customHeight="false" outlineLevel="0" collapsed="false">
      <c r="A467" s="65"/>
      <c r="B467" s="51"/>
      <c r="C467" s="51"/>
      <c r="D467" s="51"/>
      <c r="E467" s="60" t="str">
        <f aca="false">IF(D467="","",IFERROR(INDEX(Settings!$C$16:$C$45,MATCH(D467,Settings!$B$16:$B$45,0)),"Check category"))</f>
        <v/>
      </c>
      <c r="F467" s="76"/>
      <c r="G467" s="51"/>
      <c r="H467" s="51"/>
      <c r="I467" s="51"/>
      <c r="J467" s="51"/>
    </row>
    <row r="468" customFormat="false" ht="15" hidden="false" customHeight="false" outlineLevel="0" collapsed="false">
      <c r="A468" s="65"/>
      <c r="B468" s="51"/>
      <c r="C468" s="51"/>
      <c r="D468" s="51"/>
      <c r="E468" s="60" t="str">
        <f aca="false">IF(D468="","",IFERROR(INDEX(Settings!$C$16:$C$45,MATCH(D468,Settings!$B$16:$B$45,0)),"Check category"))</f>
        <v/>
      </c>
      <c r="F468" s="76"/>
      <c r="G468" s="51"/>
      <c r="H468" s="51"/>
      <c r="I468" s="51"/>
      <c r="J468" s="51"/>
    </row>
    <row r="469" customFormat="false" ht="15" hidden="false" customHeight="false" outlineLevel="0" collapsed="false">
      <c r="A469" s="65"/>
      <c r="B469" s="51"/>
      <c r="C469" s="51"/>
      <c r="D469" s="51"/>
      <c r="E469" s="60" t="str">
        <f aca="false">IF(D469="","",IFERROR(INDEX(Settings!$C$16:$C$45,MATCH(D469,Settings!$B$16:$B$45,0)),"Check category"))</f>
        <v/>
      </c>
      <c r="F469" s="76"/>
      <c r="G469" s="51"/>
      <c r="H469" s="51"/>
      <c r="I469" s="51"/>
      <c r="J469" s="51"/>
    </row>
    <row r="470" customFormat="false" ht="15" hidden="false" customHeight="false" outlineLevel="0" collapsed="false">
      <c r="A470" s="65"/>
      <c r="B470" s="51"/>
      <c r="C470" s="51"/>
      <c r="D470" s="51"/>
      <c r="E470" s="60" t="str">
        <f aca="false">IF(D470="","",IFERROR(INDEX(Settings!$C$16:$C$45,MATCH(D470,Settings!$B$16:$B$45,0)),"Check category"))</f>
        <v/>
      </c>
      <c r="F470" s="76"/>
      <c r="G470" s="51"/>
      <c r="H470" s="51"/>
      <c r="I470" s="51"/>
      <c r="J470" s="51"/>
    </row>
    <row r="471" customFormat="false" ht="15" hidden="false" customHeight="false" outlineLevel="0" collapsed="false">
      <c r="A471" s="65"/>
      <c r="B471" s="51"/>
      <c r="C471" s="51"/>
      <c r="D471" s="51"/>
      <c r="E471" s="60" t="str">
        <f aca="false">IF(D471="","",IFERROR(INDEX(Settings!$C$16:$C$45,MATCH(D471,Settings!$B$16:$B$45,0)),"Check category"))</f>
        <v/>
      </c>
      <c r="F471" s="76"/>
      <c r="G471" s="51"/>
      <c r="H471" s="51"/>
      <c r="I471" s="51"/>
      <c r="J471" s="51"/>
    </row>
    <row r="472" customFormat="false" ht="15" hidden="false" customHeight="false" outlineLevel="0" collapsed="false">
      <c r="A472" s="65"/>
      <c r="B472" s="51"/>
      <c r="C472" s="51"/>
      <c r="D472" s="51"/>
      <c r="E472" s="60" t="str">
        <f aca="false">IF(D472="","",IFERROR(INDEX(Settings!$C$16:$C$45,MATCH(D472,Settings!$B$16:$B$45,0)),"Check category"))</f>
        <v/>
      </c>
      <c r="F472" s="76"/>
      <c r="G472" s="51"/>
      <c r="H472" s="51"/>
      <c r="I472" s="51"/>
      <c r="J472" s="51"/>
    </row>
    <row r="473" customFormat="false" ht="15" hidden="false" customHeight="false" outlineLevel="0" collapsed="false">
      <c r="A473" s="65"/>
      <c r="B473" s="51"/>
      <c r="C473" s="51"/>
      <c r="D473" s="51"/>
      <c r="E473" s="60" t="str">
        <f aca="false">IF(D473="","",IFERROR(INDEX(Settings!$C$16:$C$45,MATCH(D473,Settings!$B$16:$B$45,0)),"Check category"))</f>
        <v/>
      </c>
      <c r="F473" s="76"/>
      <c r="G473" s="51"/>
      <c r="H473" s="51"/>
      <c r="I473" s="51"/>
      <c r="J473" s="51"/>
    </row>
    <row r="474" customFormat="false" ht="15" hidden="false" customHeight="false" outlineLevel="0" collapsed="false">
      <c r="A474" s="65"/>
      <c r="B474" s="51"/>
      <c r="C474" s="51"/>
      <c r="D474" s="51"/>
      <c r="E474" s="60" t="str">
        <f aca="false">IF(D474="","",IFERROR(INDEX(Settings!$C$16:$C$45,MATCH(D474,Settings!$B$16:$B$45,0)),"Check category"))</f>
        <v/>
      </c>
      <c r="F474" s="76"/>
      <c r="G474" s="51"/>
      <c r="H474" s="51"/>
      <c r="I474" s="51"/>
      <c r="J474" s="51"/>
    </row>
    <row r="475" customFormat="false" ht="15" hidden="false" customHeight="false" outlineLevel="0" collapsed="false">
      <c r="A475" s="65"/>
      <c r="B475" s="51"/>
      <c r="C475" s="51"/>
      <c r="D475" s="51"/>
      <c r="E475" s="60" t="str">
        <f aca="false">IF(D475="","",IFERROR(INDEX(Settings!$C$16:$C$45,MATCH(D475,Settings!$B$16:$B$45,0)),"Check category"))</f>
        <v/>
      </c>
      <c r="F475" s="76"/>
      <c r="G475" s="51"/>
      <c r="H475" s="51"/>
      <c r="I475" s="51"/>
      <c r="J475" s="51"/>
    </row>
    <row r="476" customFormat="false" ht="15" hidden="false" customHeight="false" outlineLevel="0" collapsed="false">
      <c r="A476" s="65"/>
      <c r="B476" s="51"/>
      <c r="C476" s="51"/>
      <c r="D476" s="51"/>
      <c r="E476" s="60" t="str">
        <f aca="false">IF(D476="","",IFERROR(INDEX(Settings!$C$16:$C$45,MATCH(D476,Settings!$B$16:$B$45,0)),"Check category"))</f>
        <v/>
      </c>
      <c r="F476" s="76"/>
      <c r="G476" s="51"/>
      <c r="H476" s="51"/>
      <c r="I476" s="51"/>
      <c r="J476" s="51"/>
    </row>
    <row r="477" customFormat="false" ht="15" hidden="false" customHeight="false" outlineLevel="0" collapsed="false">
      <c r="A477" s="65"/>
      <c r="B477" s="51"/>
      <c r="C477" s="51"/>
      <c r="D477" s="51"/>
      <c r="E477" s="60" t="str">
        <f aca="false">IF(D477="","",IFERROR(INDEX(Settings!$C$16:$C$45,MATCH(D477,Settings!$B$16:$B$45,0)),"Check category"))</f>
        <v/>
      </c>
      <c r="F477" s="76"/>
      <c r="G477" s="51"/>
      <c r="H477" s="51"/>
      <c r="I477" s="51"/>
      <c r="J477" s="51"/>
    </row>
    <row r="478" customFormat="false" ht="15" hidden="false" customHeight="false" outlineLevel="0" collapsed="false">
      <c r="A478" s="65"/>
      <c r="B478" s="51"/>
      <c r="C478" s="51"/>
      <c r="D478" s="51"/>
      <c r="E478" s="60" t="str">
        <f aca="false">IF(D478="","",IFERROR(INDEX(Settings!$C$16:$C$45,MATCH(D478,Settings!$B$16:$B$45,0)),"Check category"))</f>
        <v/>
      </c>
      <c r="F478" s="76"/>
      <c r="G478" s="51"/>
      <c r="H478" s="51"/>
      <c r="I478" s="51"/>
      <c r="J478" s="51"/>
    </row>
    <row r="479" customFormat="false" ht="15" hidden="false" customHeight="false" outlineLevel="0" collapsed="false">
      <c r="A479" s="65"/>
      <c r="B479" s="51"/>
      <c r="C479" s="51"/>
      <c r="D479" s="51"/>
      <c r="E479" s="60" t="str">
        <f aca="false">IF(D479="","",IFERROR(INDEX(Settings!$C$16:$C$45,MATCH(D479,Settings!$B$16:$B$45,0)),"Check category"))</f>
        <v/>
      </c>
      <c r="F479" s="76"/>
      <c r="G479" s="51"/>
      <c r="H479" s="51"/>
      <c r="I479" s="51"/>
      <c r="J479" s="51"/>
    </row>
    <row r="480" customFormat="false" ht="15" hidden="false" customHeight="false" outlineLevel="0" collapsed="false">
      <c r="A480" s="65"/>
      <c r="B480" s="51"/>
      <c r="C480" s="51"/>
      <c r="D480" s="51"/>
      <c r="E480" s="60" t="str">
        <f aca="false">IF(D480="","",IFERROR(INDEX(Settings!$C$16:$C$45,MATCH(D480,Settings!$B$16:$B$45,0)),"Check category"))</f>
        <v/>
      </c>
      <c r="F480" s="76"/>
      <c r="G480" s="51"/>
      <c r="H480" s="51"/>
      <c r="I480" s="51"/>
      <c r="J480" s="51"/>
    </row>
    <row r="481" customFormat="false" ht="15" hidden="false" customHeight="false" outlineLevel="0" collapsed="false">
      <c r="A481" s="65"/>
      <c r="B481" s="51"/>
      <c r="C481" s="51"/>
      <c r="D481" s="51"/>
      <c r="E481" s="60" t="str">
        <f aca="false">IF(D481="","",IFERROR(INDEX(Settings!$C$16:$C$45,MATCH(D481,Settings!$B$16:$B$45,0)),"Check category"))</f>
        <v/>
      </c>
      <c r="F481" s="76"/>
      <c r="G481" s="51"/>
      <c r="H481" s="51"/>
      <c r="I481" s="51"/>
      <c r="J481" s="51"/>
    </row>
    <row r="482" customFormat="false" ht="15" hidden="false" customHeight="false" outlineLevel="0" collapsed="false">
      <c r="A482" s="65"/>
      <c r="B482" s="51"/>
      <c r="C482" s="51"/>
      <c r="D482" s="51"/>
      <c r="E482" s="60" t="str">
        <f aca="false">IF(D482="","",IFERROR(INDEX(Settings!$C$16:$C$45,MATCH(D482,Settings!$B$16:$B$45,0)),"Check category"))</f>
        <v/>
      </c>
      <c r="F482" s="76"/>
      <c r="G482" s="51"/>
      <c r="H482" s="51"/>
      <c r="I482" s="51"/>
      <c r="J482" s="51"/>
    </row>
    <row r="483" customFormat="false" ht="15" hidden="false" customHeight="false" outlineLevel="0" collapsed="false">
      <c r="A483" s="65"/>
      <c r="B483" s="51"/>
      <c r="C483" s="51"/>
      <c r="D483" s="51"/>
      <c r="E483" s="60" t="str">
        <f aca="false">IF(D483="","",IFERROR(INDEX(Settings!$C$16:$C$45,MATCH(D483,Settings!$B$16:$B$45,0)),"Check category"))</f>
        <v/>
      </c>
      <c r="F483" s="76"/>
      <c r="G483" s="51"/>
      <c r="H483" s="51"/>
      <c r="I483" s="51"/>
      <c r="J483" s="51"/>
    </row>
    <row r="484" customFormat="false" ht="15" hidden="false" customHeight="false" outlineLevel="0" collapsed="false">
      <c r="A484" s="65"/>
      <c r="B484" s="51"/>
      <c r="C484" s="51"/>
      <c r="D484" s="51"/>
      <c r="E484" s="60" t="str">
        <f aca="false">IF(D484="","",IFERROR(INDEX(Settings!$C$16:$C$45,MATCH(D484,Settings!$B$16:$B$45,0)),"Check category"))</f>
        <v/>
      </c>
      <c r="F484" s="76"/>
      <c r="G484" s="51"/>
      <c r="H484" s="51"/>
      <c r="I484" s="51"/>
      <c r="J484" s="51"/>
    </row>
    <row r="485" customFormat="false" ht="15" hidden="false" customHeight="false" outlineLevel="0" collapsed="false">
      <c r="A485" s="65"/>
      <c r="B485" s="51"/>
      <c r="C485" s="51"/>
      <c r="D485" s="51"/>
      <c r="E485" s="60" t="str">
        <f aca="false">IF(D485="","",IFERROR(INDEX(Settings!$C$16:$C$45,MATCH(D485,Settings!$B$16:$B$45,0)),"Check category"))</f>
        <v/>
      </c>
      <c r="F485" s="76"/>
      <c r="G485" s="51"/>
      <c r="H485" s="51"/>
      <c r="I485" s="51"/>
      <c r="J485" s="51"/>
    </row>
    <row r="486" customFormat="false" ht="15" hidden="false" customHeight="false" outlineLevel="0" collapsed="false">
      <c r="A486" s="65"/>
      <c r="B486" s="51"/>
      <c r="C486" s="51"/>
      <c r="D486" s="51"/>
      <c r="E486" s="60" t="str">
        <f aca="false">IF(D486="","",IFERROR(INDEX(Settings!$C$16:$C$45,MATCH(D486,Settings!$B$16:$B$45,0)),"Check category"))</f>
        <v/>
      </c>
      <c r="F486" s="76"/>
      <c r="G486" s="51"/>
      <c r="H486" s="51"/>
      <c r="I486" s="51"/>
      <c r="J486" s="51"/>
    </row>
    <row r="487" customFormat="false" ht="15" hidden="false" customHeight="false" outlineLevel="0" collapsed="false">
      <c r="A487" s="65"/>
      <c r="B487" s="51"/>
      <c r="C487" s="51"/>
      <c r="D487" s="51"/>
      <c r="E487" s="60" t="str">
        <f aca="false">IF(D487="","",IFERROR(INDEX(Settings!$C$16:$C$45,MATCH(D487,Settings!$B$16:$B$45,0)),"Check category"))</f>
        <v/>
      </c>
      <c r="F487" s="76"/>
      <c r="G487" s="51"/>
      <c r="H487" s="51"/>
      <c r="I487" s="51"/>
      <c r="J487" s="51"/>
    </row>
    <row r="488" customFormat="false" ht="15" hidden="false" customHeight="false" outlineLevel="0" collapsed="false">
      <c r="A488" s="65"/>
      <c r="B488" s="51"/>
      <c r="C488" s="51"/>
      <c r="D488" s="51"/>
      <c r="E488" s="60" t="str">
        <f aca="false">IF(D488="","",IFERROR(INDEX(Settings!$C$16:$C$45,MATCH(D488,Settings!$B$16:$B$45,0)),"Check category"))</f>
        <v/>
      </c>
      <c r="F488" s="76"/>
      <c r="G488" s="51"/>
      <c r="H488" s="51"/>
      <c r="I488" s="51"/>
      <c r="J488" s="51"/>
    </row>
    <row r="489" customFormat="false" ht="15" hidden="false" customHeight="false" outlineLevel="0" collapsed="false">
      <c r="A489" s="65"/>
      <c r="B489" s="51"/>
      <c r="C489" s="51"/>
      <c r="D489" s="51"/>
      <c r="E489" s="60" t="str">
        <f aca="false">IF(D489="","",IFERROR(INDEX(Settings!$C$16:$C$45,MATCH(D489,Settings!$B$16:$B$45,0)),"Check category"))</f>
        <v/>
      </c>
      <c r="F489" s="76"/>
      <c r="G489" s="51"/>
      <c r="H489" s="51"/>
      <c r="I489" s="51"/>
      <c r="J489" s="51"/>
    </row>
    <row r="490" customFormat="false" ht="15" hidden="false" customHeight="false" outlineLevel="0" collapsed="false">
      <c r="A490" s="65"/>
      <c r="B490" s="51"/>
      <c r="C490" s="51"/>
      <c r="D490" s="51"/>
      <c r="E490" s="60" t="str">
        <f aca="false">IF(D490="","",IFERROR(INDEX(Settings!$C$16:$C$45,MATCH(D490,Settings!$B$16:$B$45,0)),"Check category"))</f>
        <v/>
      </c>
      <c r="F490" s="76"/>
      <c r="G490" s="51"/>
      <c r="H490" s="51"/>
      <c r="I490" s="51"/>
      <c r="J490" s="51"/>
    </row>
    <row r="491" customFormat="false" ht="15" hidden="false" customHeight="false" outlineLevel="0" collapsed="false">
      <c r="A491" s="65"/>
      <c r="B491" s="51"/>
      <c r="C491" s="51"/>
      <c r="D491" s="51"/>
      <c r="E491" s="60" t="str">
        <f aca="false">IF(D491="","",IFERROR(INDEX(Settings!$C$16:$C$45,MATCH(D491,Settings!$B$16:$B$45,0)),"Check category"))</f>
        <v/>
      </c>
      <c r="F491" s="76"/>
      <c r="G491" s="51"/>
      <c r="H491" s="51"/>
      <c r="I491" s="51"/>
      <c r="J491" s="51"/>
    </row>
    <row r="492" customFormat="false" ht="15" hidden="false" customHeight="false" outlineLevel="0" collapsed="false">
      <c r="A492" s="65"/>
      <c r="B492" s="51"/>
      <c r="C492" s="51"/>
      <c r="D492" s="51"/>
      <c r="E492" s="60" t="str">
        <f aca="false">IF(D492="","",IFERROR(INDEX(Settings!$C$16:$C$45,MATCH(D492,Settings!$B$16:$B$45,0)),"Check category"))</f>
        <v/>
      </c>
      <c r="F492" s="76"/>
      <c r="G492" s="51"/>
      <c r="H492" s="51"/>
      <c r="I492" s="51"/>
      <c r="J492" s="51"/>
    </row>
    <row r="493" customFormat="false" ht="15" hidden="false" customHeight="false" outlineLevel="0" collapsed="false">
      <c r="A493" s="65"/>
      <c r="B493" s="51"/>
      <c r="C493" s="51"/>
      <c r="D493" s="51"/>
      <c r="E493" s="60" t="str">
        <f aca="false">IF(D493="","",IFERROR(INDEX(Settings!$C$16:$C$45,MATCH(D493,Settings!$B$16:$B$45,0)),"Check category"))</f>
        <v/>
      </c>
      <c r="F493" s="76"/>
      <c r="G493" s="51"/>
      <c r="H493" s="51"/>
      <c r="I493" s="51"/>
      <c r="J493" s="51"/>
    </row>
    <row r="494" customFormat="false" ht="15" hidden="false" customHeight="false" outlineLevel="0" collapsed="false">
      <c r="A494" s="65"/>
      <c r="B494" s="51"/>
      <c r="C494" s="51"/>
      <c r="D494" s="51"/>
      <c r="E494" s="60" t="str">
        <f aca="false">IF(D494="","",IFERROR(INDEX(Settings!$C$16:$C$45,MATCH(D494,Settings!$B$16:$B$45,0)),"Check category"))</f>
        <v/>
      </c>
      <c r="F494" s="76"/>
      <c r="G494" s="51"/>
      <c r="H494" s="51"/>
      <c r="I494" s="51"/>
      <c r="J494" s="51"/>
    </row>
    <row r="495" customFormat="false" ht="15" hidden="false" customHeight="false" outlineLevel="0" collapsed="false">
      <c r="A495" s="65"/>
      <c r="B495" s="51"/>
      <c r="C495" s="51"/>
      <c r="D495" s="51"/>
      <c r="E495" s="60" t="str">
        <f aca="false">IF(D495="","",IFERROR(INDEX(Settings!$C$16:$C$45,MATCH(D495,Settings!$B$16:$B$45,0)),"Check category"))</f>
        <v/>
      </c>
      <c r="F495" s="76"/>
      <c r="G495" s="51"/>
      <c r="H495" s="51"/>
      <c r="I495" s="51"/>
      <c r="J495" s="51"/>
    </row>
    <row r="496" customFormat="false" ht="15" hidden="false" customHeight="false" outlineLevel="0" collapsed="false">
      <c r="A496" s="65"/>
      <c r="B496" s="51"/>
      <c r="C496" s="51"/>
      <c r="D496" s="51"/>
      <c r="E496" s="60" t="str">
        <f aca="false">IF(D496="","",IFERROR(INDEX(Settings!$C$16:$C$45,MATCH(D496,Settings!$B$16:$B$45,0)),"Check category"))</f>
        <v/>
      </c>
      <c r="F496" s="76"/>
      <c r="G496" s="51"/>
      <c r="H496" s="51"/>
      <c r="I496" s="51"/>
      <c r="J496" s="51"/>
    </row>
    <row r="497" customFormat="false" ht="15" hidden="false" customHeight="false" outlineLevel="0" collapsed="false">
      <c r="A497" s="65"/>
      <c r="B497" s="51"/>
      <c r="C497" s="51"/>
      <c r="D497" s="51"/>
      <c r="E497" s="60" t="str">
        <f aca="false">IF(D497="","",IFERROR(INDEX(Settings!$C$16:$C$45,MATCH(D497,Settings!$B$16:$B$45,0)),"Check category"))</f>
        <v/>
      </c>
      <c r="F497" s="76"/>
      <c r="G497" s="51"/>
      <c r="H497" s="51"/>
      <c r="I497" s="51"/>
      <c r="J497" s="51"/>
    </row>
    <row r="498" customFormat="false" ht="15" hidden="false" customHeight="false" outlineLevel="0" collapsed="false">
      <c r="A498" s="65"/>
      <c r="B498" s="51"/>
      <c r="C498" s="51"/>
      <c r="D498" s="51"/>
      <c r="E498" s="60" t="str">
        <f aca="false">IF(D498="","",IFERROR(INDEX(Settings!$C$16:$C$45,MATCH(D498,Settings!$B$16:$B$45,0)),"Check category"))</f>
        <v/>
      </c>
      <c r="F498" s="76"/>
      <c r="G498" s="51"/>
      <c r="H498" s="51"/>
      <c r="I498" s="51"/>
      <c r="J498" s="51"/>
    </row>
    <row r="499" customFormat="false" ht="15" hidden="false" customHeight="false" outlineLevel="0" collapsed="false">
      <c r="A499" s="65"/>
      <c r="B499" s="51"/>
      <c r="C499" s="51"/>
      <c r="D499" s="51"/>
      <c r="E499" s="60" t="str">
        <f aca="false">IF(D499="","",IFERROR(INDEX(Settings!$C$16:$C$45,MATCH(D499,Settings!$B$16:$B$45,0)),"Check category"))</f>
        <v/>
      </c>
      <c r="F499" s="76"/>
      <c r="G499" s="51"/>
      <c r="H499" s="51"/>
      <c r="I499" s="51"/>
      <c r="J499" s="51"/>
    </row>
    <row r="500" customFormat="false" ht="15" hidden="false" customHeight="false" outlineLevel="0" collapsed="false">
      <c r="A500" s="65"/>
      <c r="B500" s="51"/>
      <c r="C500" s="51"/>
      <c r="D500" s="51"/>
      <c r="E500" s="60" t="str">
        <f aca="false">IF(D500="","",IFERROR(INDEX(Settings!$C$16:$C$45,MATCH(D500,Settings!$B$16:$B$45,0)),"Check category"))</f>
        <v/>
      </c>
      <c r="F500" s="76"/>
      <c r="G500" s="51"/>
      <c r="H500" s="51"/>
      <c r="I500" s="51"/>
      <c r="J500" s="51"/>
    </row>
    <row r="501" customFormat="false" ht="15" hidden="false" customHeight="false" outlineLevel="0" collapsed="false">
      <c r="A501" s="65"/>
      <c r="B501" s="51"/>
      <c r="C501" s="51"/>
      <c r="D501" s="51"/>
      <c r="E501" s="60" t="str">
        <f aca="false">IF(D501="","",IFERROR(INDEX(Settings!$C$16:$C$45,MATCH(D501,Settings!$B$16:$B$45,0)),"Check category"))</f>
        <v/>
      </c>
      <c r="F501" s="76"/>
      <c r="G501" s="51"/>
      <c r="H501" s="51"/>
      <c r="I501" s="51"/>
      <c r="J501" s="51"/>
    </row>
    <row r="502" customFormat="false" ht="15" hidden="false" customHeight="false" outlineLevel="0" collapsed="false">
      <c r="A502" s="65"/>
      <c r="B502" s="51"/>
      <c r="C502" s="51"/>
      <c r="D502" s="51"/>
      <c r="E502" s="60" t="str">
        <f aca="false">IF(D502="","",IFERROR(INDEX(Settings!$C$16:$C$45,MATCH(D502,Settings!$B$16:$B$45,0)),"Check category"))</f>
        <v/>
      </c>
      <c r="F502" s="76"/>
      <c r="G502" s="51"/>
      <c r="H502" s="51"/>
      <c r="I502" s="51"/>
      <c r="J502" s="51"/>
    </row>
    <row r="503" customFormat="false" ht="15" hidden="false" customHeight="false" outlineLevel="0" collapsed="false">
      <c r="A503" s="65"/>
      <c r="B503" s="51"/>
      <c r="C503" s="51"/>
      <c r="D503" s="51"/>
      <c r="E503" s="60" t="str">
        <f aca="false">IF(D503="","",IFERROR(INDEX(Settings!$C$16:$C$45,MATCH(D503,Settings!$B$16:$B$45,0)),"Check category"))</f>
        <v/>
      </c>
      <c r="F503" s="76"/>
      <c r="G503" s="51"/>
      <c r="H503" s="51"/>
      <c r="I503" s="51"/>
      <c r="J503" s="51"/>
    </row>
    <row r="504" customFormat="false" ht="15" hidden="false" customHeight="false" outlineLevel="0" collapsed="false">
      <c r="A504" s="65"/>
      <c r="B504" s="51"/>
      <c r="C504" s="51"/>
      <c r="D504" s="51"/>
      <c r="E504" s="60" t="str">
        <f aca="false">IF(D504="","",IFERROR(INDEX(Settings!$C$16:$C$45,MATCH(D504,Settings!$B$16:$B$45,0)),"Check category"))</f>
        <v/>
      </c>
      <c r="F504" s="76"/>
      <c r="G504" s="51"/>
      <c r="H504" s="51"/>
      <c r="I504" s="51"/>
      <c r="J504" s="51"/>
    </row>
    <row r="505" customFormat="false" ht="15" hidden="false" customHeight="false" outlineLevel="0" collapsed="false">
      <c r="A505" s="65"/>
      <c r="B505" s="51"/>
      <c r="C505" s="51"/>
      <c r="D505" s="51"/>
      <c r="E505" s="60" t="str">
        <f aca="false">IF(D505="","",IFERROR(INDEX(Settings!$C$16:$C$45,MATCH(D505,Settings!$B$16:$B$45,0)),"Check category"))</f>
        <v/>
      </c>
      <c r="F505" s="76"/>
      <c r="G505" s="51"/>
      <c r="H505" s="51"/>
      <c r="I505" s="51"/>
      <c r="J505" s="51"/>
    </row>
    <row r="506" customFormat="false" ht="15" hidden="false" customHeight="false" outlineLevel="0" collapsed="false">
      <c r="A506" s="65"/>
      <c r="B506" s="51"/>
      <c r="C506" s="51"/>
      <c r="D506" s="51"/>
      <c r="E506" s="60" t="str">
        <f aca="false">IF(D506="","",IFERROR(INDEX(Settings!$C$16:$C$45,MATCH(D506,Settings!$B$16:$B$45,0)),"Check category"))</f>
        <v/>
      </c>
      <c r="F506" s="76"/>
      <c r="G506" s="51"/>
      <c r="H506" s="51"/>
      <c r="I506" s="51"/>
      <c r="J506" s="51"/>
    </row>
    <row r="507" customFormat="false" ht="15" hidden="false" customHeight="false" outlineLevel="0" collapsed="false">
      <c r="A507" s="65"/>
      <c r="B507" s="51"/>
      <c r="C507" s="51"/>
      <c r="D507" s="51"/>
      <c r="E507" s="60" t="str">
        <f aca="false">IF(D507="","",IFERROR(INDEX(Settings!$C$16:$C$45,MATCH(D507,Settings!$B$16:$B$45,0)),"Check category"))</f>
        <v/>
      </c>
      <c r="F507" s="76"/>
      <c r="G507" s="51"/>
      <c r="H507" s="51"/>
      <c r="I507" s="51"/>
      <c r="J507" s="51"/>
    </row>
    <row r="508" customFormat="false" ht="15" hidden="false" customHeight="false" outlineLevel="0" collapsed="false">
      <c r="A508" s="65"/>
      <c r="B508" s="51"/>
      <c r="C508" s="51"/>
      <c r="D508" s="51"/>
      <c r="E508" s="60" t="str">
        <f aca="false">IF(D508="","",IFERROR(INDEX(Settings!$C$16:$C$45,MATCH(D508,Settings!$B$16:$B$45,0)),"Check category"))</f>
        <v/>
      </c>
      <c r="F508" s="76"/>
      <c r="G508" s="51"/>
      <c r="H508" s="51"/>
      <c r="I508" s="51"/>
      <c r="J508" s="51"/>
    </row>
    <row r="509" customFormat="false" ht="15" hidden="false" customHeight="false" outlineLevel="0" collapsed="false">
      <c r="A509" s="65"/>
      <c r="B509" s="51"/>
      <c r="C509" s="51"/>
      <c r="D509" s="51"/>
      <c r="E509" s="60" t="str">
        <f aca="false">IF(D509="","",IFERROR(INDEX(Settings!$C$16:$C$45,MATCH(D509,Settings!$B$16:$B$45,0)),"Check category"))</f>
        <v/>
      </c>
      <c r="F509" s="76"/>
      <c r="G509" s="51"/>
      <c r="H509" s="51"/>
      <c r="I509" s="51"/>
      <c r="J509" s="51"/>
    </row>
    <row r="510" customFormat="false" ht="15" hidden="false" customHeight="false" outlineLevel="0" collapsed="false">
      <c r="A510" s="65"/>
      <c r="B510" s="51"/>
      <c r="C510" s="51"/>
      <c r="D510" s="51"/>
      <c r="E510" s="60" t="str">
        <f aca="false">IF(D510="","",IFERROR(INDEX(Settings!$C$16:$C$45,MATCH(D510,Settings!$B$16:$B$45,0)),"Check category"))</f>
        <v/>
      </c>
      <c r="F510" s="76"/>
      <c r="G510" s="51"/>
      <c r="H510" s="51"/>
      <c r="I510" s="51"/>
      <c r="J510" s="51"/>
    </row>
    <row r="511" customFormat="false" ht="15" hidden="false" customHeight="false" outlineLevel="0" collapsed="false">
      <c r="A511" s="65"/>
      <c r="B511" s="51"/>
      <c r="C511" s="51"/>
      <c r="D511" s="51"/>
      <c r="E511" s="60" t="str">
        <f aca="false">IF(D511="","",IFERROR(INDEX(Settings!$C$16:$C$45,MATCH(D511,Settings!$B$16:$B$45,0)),"Check category"))</f>
        <v/>
      </c>
      <c r="F511" s="76"/>
      <c r="G511" s="51"/>
      <c r="H511" s="51"/>
      <c r="I511" s="51"/>
      <c r="J511" s="51"/>
    </row>
    <row r="512" customFormat="false" ht="15" hidden="false" customHeight="false" outlineLevel="0" collapsed="false">
      <c r="A512" s="65"/>
      <c r="B512" s="51"/>
      <c r="C512" s="51"/>
      <c r="D512" s="51"/>
      <c r="E512" s="60" t="str">
        <f aca="false">IF(D512="","",IFERROR(INDEX(Settings!$C$16:$C$45,MATCH(D512,Settings!$B$16:$B$45,0)),"Check category"))</f>
        <v/>
      </c>
      <c r="F512" s="76"/>
      <c r="G512" s="51"/>
      <c r="H512" s="51"/>
      <c r="I512" s="51"/>
      <c r="J512" s="51"/>
    </row>
    <row r="513" customFormat="false" ht="15" hidden="false" customHeight="false" outlineLevel="0" collapsed="false">
      <c r="A513" s="65"/>
      <c r="B513" s="51"/>
      <c r="C513" s="51"/>
      <c r="D513" s="51"/>
      <c r="E513" s="60" t="str">
        <f aca="false">IF(D513="","",IFERROR(INDEX(Settings!$C$16:$C$45,MATCH(D513,Settings!$B$16:$B$45,0)),"Check category"))</f>
        <v/>
      </c>
      <c r="F513" s="76"/>
      <c r="G513" s="51"/>
      <c r="H513" s="51"/>
      <c r="I513" s="51"/>
      <c r="J513" s="51"/>
    </row>
    <row r="514" customFormat="false" ht="15" hidden="false" customHeight="false" outlineLevel="0" collapsed="false">
      <c r="A514" s="65"/>
      <c r="B514" s="51"/>
      <c r="C514" s="51"/>
      <c r="D514" s="51"/>
      <c r="E514" s="60" t="str">
        <f aca="false">IF(D514="","",IFERROR(INDEX(Settings!$C$16:$C$45,MATCH(D514,Settings!$B$16:$B$45,0)),"Check category"))</f>
        <v/>
      </c>
      <c r="F514" s="76"/>
      <c r="G514" s="51"/>
      <c r="H514" s="51"/>
      <c r="I514" s="51"/>
      <c r="J514" s="51"/>
    </row>
    <row r="515" customFormat="false" ht="15" hidden="false" customHeight="false" outlineLevel="0" collapsed="false">
      <c r="A515" s="65"/>
      <c r="B515" s="51"/>
      <c r="C515" s="51"/>
      <c r="D515" s="51"/>
      <c r="E515" s="60" t="str">
        <f aca="false">IF(D515="","",IFERROR(INDEX(Settings!$C$16:$C$45,MATCH(D515,Settings!$B$16:$B$45,0)),"Check category"))</f>
        <v/>
      </c>
      <c r="F515" s="76"/>
      <c r="G515" s="51"/>
      <c r="H515" s="51"/>
      <c r="I515" s="51"/>
      <c r="J515" s="51"/>
    </row>
    <row r="516" customFormat="false" ht="15" hidden="false" customHeight="false" outlineLevel="0" collapsed="false">
      <c r="A516" s="65"/>
      <c r="B516" s="51"/>
      <c r="C516" s="51"/>
      <c r="D516" s="51"/>
      <c r="E516" s="60" t="str">
        <f aca="false">IF(D516="","",IFERROR(INDEX(Settings!$C$16:$C$45,MATCH(D516,Settings!$B$16:$B$45,0)),"Check category"))</f>
        <v/>
      </c>
      <c r="F516" s="76"/>
      <c r="G516" s="51"/>
      <c r="H516" s="51"/>
      <c r="I516" s="51"/>
      <c r="J516" s="51"/>
    </row>
    <row r="517" customFormat="false" ht="15" hidden="false" customHeight="false" outlineLevel="0" collapsed="false">
      <c r="A517" s="65"/>
      <c r="B517" s="51"/>
      <c r="C517" s="51"/>
      <c r="D517" s="51"/>
      <c r="E517" s="60" t="str">
        <f aca="false">IF(D517="","",IFERROR(INDEX(Settings!$C$16:$C$45,MATCH(D517,Settings!$B$16:$B$45,0)),"Check category"))</f>
        <v/>
      </c>
      <c r="F517" s="76"/>
      <c r="G517" s="51"/>
      <c r="H517" s="51"/>
      <c r="I517" s="51"/>
      <c r="J517" s="51"/>
    </row>
    <row r="518" customFormat="false" ht="15" hidden="false" customHeight="false" outlineLevel="0" collapsed="false">
      <c r="A518" s="65"/>
      <c r="B518" s="51"/>
      <c r="C518" s="51"/>
      <c r="D518" s="51"/>
      <c r="E518" s="60" t="str">
        <f aca="false">IF(D518="","",IFERROR(INDEX(Settings!$C$16:$C$45,MATCH(D518,Settings!$B$16:$B$45,0)),"Check category"))</f>
        <v/>
      </c>
      <c r="F518" s="76"/>
      <c r="G518" s="51"/>
      <c r="H518" s="51"/>
      <c r="I518" s="51"/>
      <c r="J518" s="51"/>
    </row>
    <row r="519" customFormat="false" ht="15" hidden="false" customHeight="false" outlineLevel="0" collapsed="false">
      <c r="A519" s="65"/>
      <c r="B519" s="51"/>
      <c r="C519" s="51"/>
      <c r="D519" s="51"/>
      <c r="E519" s="60" t="str">
        <f aca="false">IF(D519="","",IFERROR(INDEX(Settings!$C$16:$C$45,MATCH(D519,Settings!$B$16:$B$45,0)),"Check category"))</f>
        <v/>
      </c>
      <c r="F519" s="76"/>
      <c r="G519" s="51"/>
      <c r="H519" s="51"/>
      <c r="I519" s="51"/>
      <c r="J519" s="51"/>
    </row>
    <row r="520" customFormat="false" ht="15" hidden="false" customHeight="false" outlineLevel="0" collapsed="false">
      <c r="A520" s="65"/>
      <c r="B520" s="51"/>
      <c r="C520" s="51"/>
      <c r="D520" s="51"/>
      <c r="E520" s="60" t="str">
        <f aca="false">IF(D520="","",IFERROR(INDEX(Settings!$C$16:$C$45,MATCH(D520,Settings!$B$16:$B$45,0)),"Check category"))</f>
        <v/>
      </c>
      <c r="F520" s="76"/>
      <c r="G520" s="51"/>
      <c r="H520" s="51"/>
      <c r="I520" s="51"/>
      <c r="J520" s="51"/>
    </row>
    <row r="521" customFormat="false" ht="15" hidden="false" customHeight="false" outlineLevel="0" collapsed="false">
      <c r="A521" s="65"/>
      <c r="B521" s="51"/>
      <c r="C521" s="51"/>
      <c r="D521" s="51"/>
      <c r="E521" s="60" t="str">
        <f aca="false">IF(D521="","",IFERROR(INDEX(Settings!$C$16:$C$45,MATCH(D521,Settings!$B$16:$B$45,0)),"Check category"))</f>
        <v/>
      </c>
      <c r="F521" s="76"/>
      <c r="G521" s="51"/>
      <c r="H521" s="51"/>
      <c r="I521" s="51"/>
      <c r="J521" s="51"/>
    </row>
    <row r="522" customFormat="false" ht="15" hidden="false" customHeight="false" outlineLevel="0" collapsed="false">
      <c r="A522" s="65"/>
      <c r="B522" s="51"/>
      <c r="C522" s="51"/>
      <c r="D522" s="51"/>
      <c r="E522" s="60" t="str">
        <f aca="false">IF(D522="","",IFERROR(INDEX(Settings!$C$16:$C$45,MATCH(D522,Settings!$B$16:$B$45,0)),"Check category"))</f>
        <v/>
      </c>
      <c r="F522" s="76"/>
      <c r="G522" s="51"/>
      <c r="H522" s="51"/>
      <c r="I522" s="51"/>
      <c r="J522" s="51"/>
    </row>
    <row r="523" customFormat="false" ht="15" hidden="false" customHeight="false" outlineLevel="0" collapsed="false">
      <c r="A523" s="65"/>
      <c r="B523" s="51"/>
      <c r="C523" s="51"/>
      <c r="D523" s="51"/>
      <c r="E523" s="60" t="str">
        <f aca="false">IF(D523="","",IFERROR(INDEX(Settings!$C$16:$C$45,MATCH(D523,Settings!$B$16:$B$45,0)),"Check category"))</f>
        <v/>
      </c>
      <c r="F523" s="76"/>
      <c r="G523" s="51"/>
      <c r="H523" s="51"/>
      <c r="I523" s="51"/>
      <c r="J523" s="51"/>
    </row>
    <row r="524" customFormat="false" ht="15" hidden="false" customHeight="false" outlineLevel="0" collapsed="false">
      <c r="A524" s="65"/>
      <c r="B524" s="51"/>
      <c r="C524" s="51"/>
      <c r="D524" s="51"/>
      <c r="E524" s="60" t="str">
        <f aca="false">IF(D524="","",IFERROR(INDEX(Settings!$C$16:$C$45,MATCH(D524,Settings!$B$16:$B$45,0)),"Check category"))</f>
        <v/>
      </c>
      <c r="F524" s="76"/>
      <c r="G524" s="51"/>
      <c r="H524" s="51"/>
      <c r="I524" s="51"/>
      <c r="J524" s="51"/>
    </row>
    <row r="525" customFormat="false" ht="15" hidden="false" customHeight="false" outlineLevel="0" collapsed="false">
      <c r="A525" s="65"/>
      <c r="B525" s="51"/>
      <c r="C525" s="51"/>
      <c r="D525" s="51"/>
      <c r="E525" s="60" t="str">
        <f aca="false">IF(D525="","",IFERROR(INDEX(Settings!$C$16:$C$45,MATCH(D525,Settings!$B$16:$B$45,0)),"Check category"))</f>
        <v/>
      </c>
      <c r="F525" s="76"/>
      <c r="G525" s="51"/>
      <c r="H525" s="51"/>
      <c r="I525" s="51"/>
      <c r="J525" s="51"/>
    </row>
    <row r="526" customFormat="false" ht="15" hidden="false" customHeight="false" outlineLevel="0" collapsed="false">
      <c r="A526" s="65"/>
      <c r="B526" s="51"/>
      <c r="C526" s="51"/>
      <c r="D526" s="51"/>
      <c r="E526" s="60" t="str">
        <f aca="false">IF(D526="","",IFERROR(INDEX(Settings!$C$16:$C$45,MATCH(D526,Settings!$B$16:$B$45,0)),"Check category"))</f>
        <v/>
      </c>
      <c r="F526" s="76"/>
      <c r="G526" s="51"/>
      <c r="H526" s="51"/>
      <c r="I526" s="51"/>
      <c r="J526" s="51"/>
    </row>
    <row r="527" customFormat="false" ht="15" hidden="false" customHeight="false" outlineLevel="0" collapsed="false">
      <c r="A527" s="65"/>
      <c r="B527" s="51"/>
      <c r="C527" s="51"/>
      <c r="D527" s="51"/>
      <c r="E527" s="60" t="str">
        <f aca="false">IF(D527="","",IFERROR(INDEX(Settings!$C$16:$C$45,MATCH(D527,Settings!$B$16:$B$45,0)),"Check category"))</f>
        <v/>
      </c>
      <c r="F527" s="76"/>
      <c r="G527" s="51"/>
      <c r="H527" s="51"/>
      <c r="I527" s="51"/>
      <c r="J527" s="51"/>
    </row>
    <row r="528" customFormat="false" ht="15" hidden="false" customHeight="false" outlineLevel="0" collapsed="false">
      <c r="A528" s="65"/>
      <c r="B528" s="51"/>
      <c r="C528" s="51"/>
      <c r="D528" s="51"/>
      <c r="E528" s="60" t="str">
        <f aca="false">IF(D528="","",IFERROR(INDEX(Settings!$C$16:$C$45,MATCH(D528,Settings!$B$16:$B$45,0)),"Check category"))</f>
        <v/>
      </c>
      <c r="F528" s="76"/>
      <c r="G528" s="51"/>
      <c r="H528" s="51"/>
      <c r="I528" s="51"/>
      <c r="J528" s="51"/>
    </row>
    <row r="529" customFormat="false" ht="15" hidden="false" customHeight="false" outlineLevel="0" collapsed="false">
      <c r="A529" s="65"/>
      <c r="B529" s="51"/>
      <c r="C529" s="51"/>
      <c r="D529" s="51"/>
      <c r="E529" s="60" t="str">
        <f aca="false">IF(D529="","",IFERROR(INDEX(Settings!$C$16:$C$45,MATCH(D529,Settings!$B$16:$B$45,0)),"Check category"))</f>
        <v/>
      </c>
      <c r="F529" s="76"/>
      <c r="G529" s="51"/>
      <c r="H529" s="51"/>
      <c r="I529" s="51"/>
      <c r="J529" s="51"/>
    </row>
    <row r="530" customFormat="false" ht="15" hidden="false" customHeight="false" outlineLevel="0" collapsed="false">
      <c r="A530" s="65"/>
      <c r="B530" s="51"/>
      <c r="C530" s="51"/>
      <c r="D530" s="51"/>
      <c r="E530" s="60" t="str">
        <f aca="false">IF(D530="","",IFERROR(INDEX(Settings!$C$16:$C$45,MATCH(D530,Settings!$B$16:$B$45,0)),"Check category"))</f>
        <v/>
      </c>
      <c r="F530" s="76"/>
      <c r="G530" s="51"/>
      <c r="H530" s="51"/>
      <c r="I530" s="51"/>
      <c r="J530" s="51"/>
    </row>
    <row r="531" customFormat="false" ht="15" hidden="false" customHeight="false" outlineLevel="0" collapsed="false">
      <c r="A531" s="65"/>
      <c r="B531" s="51"/>
      <c r="C531" s="51"/>
      <c r="D531" s="51"/>
      <c r="E531" s="60" t="str">
        <f aca="false">IF(D531="","",IFERROR(INDEX(Settings!$C$16:$C$45,MATCH(D531,Settings!$B$16:$B$45,0)),"Check category"))</f>
        <v/>
      </c>
      <c r="F531" s="76"/>
      <c r="G531" s="51"/>
      <c r="H531" s="51"/>
      <c r="I531" s="51"/>
      <c r="J531" s="51"/>
    </row>
    <row r="532" customFormat="false" ht="15" hidden="false" customHeight="false" outlineLevel="0" collapsed="false">
      <c r="A532" s="65"/>
      <c r="B532" s="51"/>
      <c r="C532" s="51"/>
      <c r="D532" s="51"/>
      <c r="E532" s="60" t="str">
        <f aca="false">IF(D532="","",IFERROR(INDEX(Settings!$C$16:$C$45,MATCH(D532,Settings!$B$16:$B$45,0)),"Check category"))</f>
        <v/>
      </c>
      <c r="F532" s="76"/>
      <c r="G532" s="51"/>
      <c r="H532" s="51"/>
      <c r="I532" s="51"/>
      <c r="J532" s="51"/>
    </row>
    <row r="533" customFormat="false" ht="15" hidden="false" customHeight="false" outlineLevel="0" collapsed="false">
      <c r="A533" s="65"/>
      <c r="B533" s="51"/>
      <c r="C533" s="51"/>
      <c r="D533" s="51"/>
      <c r="E533" s="60" t="str">
        <f aca="false">IF(D533="","",IFERROR(INDEX(Settings!$C$16:$C$45,MATCH(D533,Settings!$B$16:$B$45,0)),"Check category"))</f>
        <v/>
      </c>
      <c r="F533" s="76"/>
      <c r="G533" s="51"/>
      <c r="H533" s="51"/>
      <c r="I533" s="51"/>
      <c r="J533" s="51"/>
    </row>
    <row r="534" customFormat="false" ht="15" hidden="false" customHeight="false" outlineLevel="0" collapsed="false">
      <c r="A534" s="65"/>
      <c r="B534" s="51"/>
      <c r="C534" s="51"/>
      <c r="D534" s="51"/>
      <c r="E534" s="60" t="str">
        <f aca="false">IF(D534="","",IFERROR(INDEX(Settings!$C$16:$C$45,MATCH(D534,Settings!$B$16:$B$45,0)),"Check category"))</f>
        <v/>
      </c>
      <c r="F534" s="76"/>
      <c r="G534" s="51"/>
      <c r="H534" s="51"/>
      <c r="I534" s="51"/>
      <c r="J534" s="51"/>
    </row>
    <row r="535" customFormat="false" ht="15" hidden="false" customHeight="false" outlineLevel="0" collapsed="false">
      <c r="A535" s="65"/>
      <c r="B535" s="51"/>
      <c r="C535" s="51"/>
      <c r="D535" s="51"/>
      <c r="E535" s="60" t="str">
        <f aca="false">IF(D535="","",IFERROR(INDEX(Settings!$C$16:$C$45,MATCH(D535,Settings!$B$16:$B$45,0)),"Check category"))</f>
        <v/>
      </c>
      <c r="F535" s="76"/>
      <c r="G535" s="51"/>
      <c r="H535" s="51"/>
      <c r="I535" s="51"/>
      <c r="J535" s="51"/>
    </row>
    <row r="536" customFormat="false" ht="15" hidden="false" customHeight="false" outlineLevel="0" collapsed="false">
      <c r="A536" s="65"/>
      <c r="B536" s="51"/>
      <c r="C536" s="51"/>
      <c r="D536" s="51"/>
      <c r="E536" s="60" t="str">
        <f aca="false">IF(D536="","",IFERROR(INDEX(Settings!$C$16:$C$45,MATCH(D536,Settings!$B$16:$B$45,0)),"Check category"))</f>
        <v/>
      </c>
      <c r="F536" s="76"/>
      <c r="G536" s="51"/>
      <c r="H536" s="51"/>
      <c r="I536" s="51"/>
      <c r="J536" s="51"/>
    </row>
    <row r="537" customFormat="false" ht="15" hidden="false" customHeight="false" outlineLevel="0" collapsed="false">
      <c r="A537" s="65"/>
      <c r="B537" s="51"/>
      <c r="C537" s="51"/>
      <c r="D537" s="51"/>
      <c r="E537" s="60" t="str">
        <f aca="false">IF(D537="","",IFERROR(INDEX(Settings!$C$16:$C$45,MATCH(D537,Settings!$B$16:$B$45,0)),"Check category"))</f>
        <v/>
      </c>
      <c r="F537" s="76"/>
      <c r="G537" s="51"/>
      <c r="H537" s="51"/>
      <c r="I537" s="51"/>
      <c r="J537" s="51"/>
    </row>
    <row r="538" customFormat="false" ht="15" hidden="false" customHeight="false" outlineLevel="0" collapsed="false">
      <c r="A538" s="65"/>
      <c r="B538" s="51"/>
      <c r="C538" s="51"/>
      <c r="D538" s="51"/>
      <c r="E538" s="60" t="str">
        <f aca="false">IF(D538="","",IFERROR(INDEX(Settings!$C$16:$C$45,MATCH(D538,Settings!$B$16:$B$45,0)),"Check category"))</f>
        <v/>
      </c>
      <c r="F538" s="76"/>
      <c r="G538" s="51"/>
      <c r="H538" s="51"/>
      <c r="I538" s="51"/>
      <c r="J538" s="51"/>
    </row>
    <row r="539" customFormat="false" ht="15" hidden="false" customHeight="false" outlineLevel="0" collapsed="false">
      <c r="A539" s="65"/>
      <c r="B539" s="51"/>
      <c r="C539" s="51"/>
      <c r="D539" s="51"/>
      <c r="E539" s="60" t="str">
        <f aca="false">IF(D539="","",IFERROR(INDEX(Settings!$C$16:$C$45,MATCH(D539,Settings!$B$16:$B$45,0)),"Check category"))</f>
        <v/>
      </c>
      <c r="F539" s="76"/>
      <c r="G539" s="51"/>
      <c r="H539" s="51"/>
      <c r="I539" s="51"/>
      <c r="J539" s="51"/>
    </row>
    <row r="540" customFormat="false" ht="15" hidden="false" customHeight="false" outlineLevel="0" collapsed="false">
      <c r="A540" s="65"/>
      <c r="B540" s="51"/>
      <c r="C540" s="51"/>
      <c r="D540" s="51"/>
      <c r="E540" s="60" t="str">
        <f aca="false">IF(D540="","",IFERROR(INDEX(Settings!$C$16:$C$45,MATCH(D540,Settings!$B$16:$B$45,0)),"Check category"))</f>
        <v/>
      </c>
      <c r="F540" s="76"/>
      <c r="G540" s="51"/>
      <c r="H540" s="51"/>
      <c r="I540" s="51"/>
      <c r="J540" s="51"/>
    </row>
    <row r="541" customFormat="false" ht="15" hidden="false" customHeight="false" outlineLevel="0" collapsed="false">
      <c r="A541" s="65"/>
      <c r="B541" s="51"/>
      <c r="C541" s="51"/>
      <c r="D541" s="51"/>
      <c r="E541" s="60" t="str">
        <f aca="false">IF(D541="","",IFERROR(INDEX(Settings!$C$16:$C$45,MATCH(D541,Settings!$B$16:$B$45,0)),"Check category"))</f>
        <v/>
      </c>
      <c r="F541" s="76"/>
      <c r="G541" s="51"/>
      <c r="H541" s="51"/>
      <c r="I541" s="51"/>
      <c r="J541" s="51"/>
    </row>
    <row r="542" customFormat="false" ht="15" hidden="false" customHeight="false" outlineLevel="0" collapsed="false">
      <c r="A542" s="65"/>
      <c r="B542" s="51"/>
      <c r="C542" s="51"/>
      <c r="D542" s="51"/>
      <c r="E542" s="60" t="str">
        <f aca="false">IF(D542="","",IFERROR(INDEX(Settings!$C$16:$C$45,MATCH(D542,Settings!$B$16:$B$45,0)),"Check category"))</f>
        <v/>
      </c>
      <c r="F542" s="76"/>
      <c r="G542" s="51"/>
      <c r="H542" s="51"/>
      <c r="I542" s="51"/>
      <c r="J542" s="51"/>
    </row>
    <row r="543" customFormat="false" ht="15" hidden="false" customHeight="false" outlineLevel="0" collapsed="false">
      <c r="A543" s="65"/>
      <c r="B543" s="51"/>
      <c r="C543" s="51"/>
      <c r="D543" s="51"/>
      <c r="E543" s="60" t="str">
        <f aca="false">IF(D543="","",IFERROR(INDEX(Settings!$C$16:$C$45,MATCH(D543,Settings!$B$16:$B$45,0)),"Check category"))</f>
        <v/>
      </c>
      <c r="F543" s="76"/>
      <c r="G543" s="51"/>
      <c r="H543" s="51"/>
      <c r="I543" s="51"/>
      <c r="J543" s="51"/>
    </row>
    <row r="544" customFormat="false" ht="15" hidden="false" customHeight="false" outlineLevel="0" collapsed="false">
      <c r="A544" s="65"/>
      <c r="B544" s="51"/>
      <c r="C544" s="51"/>
      <c r="D544" s="51"/>
      <c r="E544" s="60" t="str">
        <f aca="false">IF(D544="","",IFERROR(INDEX(Settings!$C$16:$C$45,MATCH(D544,Settings!$B$16:$B$45,0)),"Check category"))</f>
        <v/>
      </c>
      <c r="F544" s="76"/>
      <c r="G544" s="51"/>
      <c r="H544" s="51"/>
      <c r="I544" s="51"/>
      <c r="J544" s="51"/>
    </row>
    <row r="545" customFormat="false" ht="15" hidden="false" customHeight="false" outlineLevel="0" collapsed="false">
      <c r="A545" s="65"/>
      <c r="B545" s="51"/>
      <c r="C545" s="51"/>
      <c r="D545" s="51"/>
      <c r="E545" s="60" t="str">
        <f aca="false">IF(D545="","",IFERROR(INDEX(Settings!$C$16:$C$45,MATCH(D545,Settings!$B$16:$B$45,0)),"Check category"))</f>
        <v/>
      </c>
      <c r="F545" s="76"/>
      <c r="G545" s="51"/>
      <c r="H545" s="51"/>
      <c r="I545" s="51"/>
      <c r="J545" s="51"/>
    </row>
    <row r="546" customFormat="false" ht="15" hidden="false" customHeight="false" outlineLevel="0" collapsed="false">
      <c r="A546" s="65"/>
      <c r="B546" s="51"/>
      <c r="C546" s="51"/>
      <c r="D546" s="51"/>
      <c r="E546" s="60" t="str">
        <f aca="false">IF(D546="","",IFERROR(INDEX(Settings!$C$16:$C$45,MATCH(D546,Settings!$B$16:$B$45,0)),"Check category"))</f>
        <v/>
      </c>
      <c r="F546" s="76"/>
      <c r="G546" s="51"/>
      <c r="H546" s="51"/>
      <c r="I546" s="51"/>
      <c r="J546" s="51"/>
    </row>
    <row r="547" customFormat="false" ht="15" hidden="false" customHeight="false" outlineLevel="0" collapsed="false">
      <c r="A547" s="65"/>
      <c r="B547" s="51"/>
      <c r="C547" s="51"/>
      <c r="D547" s="51"/>
      <c r="E547" s="60" t="str">
        <f aca="false">IF(D547="","",IFERROR(INDEX(Settings!$C$16:$C$45,MATCH(D547,Settings!$B$16:$B$45,0)),"Check category"))</f>
        <v/>
      </c>
      <c r="F547" s="76"/>
      <c r="G547" s="51"/>
      <c r="H547" s="51"/>
      <c r="I547" s="51"/>
      <c r="J547" s="51"/>
    </row>
    <row r="548" customFormat="false" ht="15" hidden="false" customHeight="false" outlineLevel="0" collapsed="false">
      <c r="A548" s="65"/>
      <c r="B548" s="51"/>
      <c r="C548" s="51"/>
      <c r="D548" s="51"/>
      <c r="E548" s="60" t="str">
        <f aca="false">IF(D548="","",IFERROR(INDEX(Settings!$C$16:$C$45,MATCH(D548,Settings!$B$16:$B$45,0)),"Check category"))</f>
        <v/>
      </c>
      <c r="F548" s="76"/>
      <c r="G548" s="51"/>
      <c r="H548" s="51"/>
      <c r="I548" s="51"/>
      <c r="J548" s="51"/>
    </row>
    <row r="549" customFormat="false" ht="15" hidden="false" customHeight="false" outlineLevel="0" collapsed="false">
      <c r="A549" s="65"/>
      <c r="B549" s="51"/>
      <c r="C549" s="51"/>
      <c r="D549" s="51"/>
      <c r="E549" s="60" t="str">
        <f aca="false">IF(D549="","",IFERROR(INDEX(Settings!$C$16:$C$45,MATCH(D549,Settings!$B$16:$B$45,0)),"Check category"))</f>
        <v/>
      </c>
      <c r="F549" s="76"/>
      <c r="G549" s="51"/>
      <c r="H549" s="51"/>
      <c r="I549" s="51"/>
      <c r="J549" s="51"/>
    </row>
    <row r="550" customFormat="false" ht="15" hidden="false" customHeight="false" outlineLevel="0" collapsed="false">
      <c r="A550" s="65"/>
      <c r="B550" s="51"/>
      <c r="C550" s="51"/>
      <c r="D550" s="51"/>
      <c r="E550" s="60" t="str">
        <f aca="false">IF(D550="","",IFERROR(INDEX(Settings!$C$16:$C$45,MATCH(D550,Settings!$B$16:$B$45,0)),"Check category"))</f>
        <v/>
      </c>
      <c r="F550" s="76"/>
      <c r="G550" s="51"/>
      <c r="H550" s="51"/>
      <c r="I550" s="51"/>
      <c r="J550" s="51"/>
    </row>
    <row r="551" customFormat="false" ht="15" hidden="false" customHeight="false" outlineLevel="0" collapsed="false">
      <c r="A551" s="65"/>
      <c r="B551" s="51"/>
      <c r="C551" s="51"/>
      <c r="D551" s="51"/>
      <c r="E551" s="60" t="str">
        <f aca="false">IF(D551="","",IFERROR(INDEX(Settings!$C$16:$C$45,MATCH(D551,Settings!$B$16:$B$45,0)),"Check category"))</f>
        <v/>
      </c>
      <c r="F551" s="76"/>
      <c r="G551" s="51"/>
      <c r="H551" s="51"/>
      <c r="I551" s="51"/>
      <c r="J551" s="51"/>
    </row>
    <row r="552" customFormat="false" ht="15" hidden="false" customHeight="false" outlineLevel="0" collapsed="false">
      <c r="A552" s="65"/>
      <c r="B552" s="51"/>
      <c r="C552" s="51"/>
      <c r="D552" s="51"/>
      <c r="E552" s="60" t="str">
        <f aca="false">IF(D552="","",IFERROR(INDEX(Settings!$C$16:$C$45,MATCH(D552,Settings!$B$16:$B$45,0)),"Check category"))</f>
        <v/>
      </c>
      <c r="F552" s="76"/>
      <c r="G552" s="51"/>
      <c r="H552" s="51"/>
      <c r="I552" s="51"/>
      <c r="J552" s="51"/>
    </row>
    <row r="553" customFormat="false" ht="15" hidden="false" customHeight="false" outlineLevel="0" collapsed="false">
      <c r="A553" s="65"/>
      <c r="B553" s="51"/>
      <c r="C553" s="51"/>
      <c r="D553" s="51"/>
      <c r="E553" s="60" t="str">
        <f aca="false">IF(D553="","",IFERROR(INDEX(Settings!$C$16:$C$45,MATCH(D553,Settings!$B$16:$B$45,0)),"Check category"))</f>
        <v/>
      </c>
      <c r="F553" s="76"/>
      <c r="G553" s="51"/>
      <c r="H553" s="51"/>
      <c r="I553" s="51"/>
      <c r="J553" s="51"/>
    </row>
    <row r="554" customFormat="false" ht="15" hidden="false" customHeight="false" outlineLevel="0" collapsed="false">
      <c r="A554" s="65"/>
      <c r="B554" s="51"/>
      <c r="C554" s="51"/>
      <c r="D554" s="51"/>
      <c r="E554" s="60" t="str">
        <f aca="false">IF(D554="","",IFERROR(INDEX(Settings!$C$16:$C$45,MATCH(D554,Settings!$B$16:$B$45,0)),"Check category"))</f>
        <v/>
      </c>
      <c r="F554" s="76"/>
      <c r="G554" s="51"/>
      <c r="H554" s="51"/>
      <c r="I554" s="51"/>
      <c r="J554" s="51"/>
    </row>
    <row r="555" customFormat="false" ht="15" hidden="false" customHeight="false" outlineLevel="0" collapsed="false">
      <c r="A555" s="65"/>
      <c r="B555" s="51"/>
      <c r="C555" s="51"/>
      <c r="D555" s="51"/>
      <c r="E555" s="60" t="str">
        <f aca="false">IF(D555="","",IFERROR(INDEX(Settings!$C$16:$C$45,MATCH(D555,Settings!$B$16:$B$45,0)),"Check category"))</f>
        <v/>
      </c>
      <c r="F555" s="76"/>
      <c r="G555" s="51"/>
      <c r="H555" s="51"/>
      <c r="I555" s="51"/>
      <c r="J555" s="51"/>
    </row>
    <row r="556" customFormat="false" ht="15" hidden="false" customHeight="false" outlineLevel="0" collapsed="false">
      <c r="A556" s="65"/>
      <c r="B556" s="51"/>
      <c r="C556" s="51"/>
      <c r="D556" s="51"/>
      <c r="E556" s="60" t="str">
        <f aca="false">IF(D556="","",IFERROR(INDEX(Settings!$C$16:$C$45,MATCH(D556,Settings!$B$16:$B$45,0)),"Check category"))</f>
        <v/>
      </c>
      <c r="F556" s="76"/>
      <c r="G556" s="51"/>
      <c r="H556" s="51"/>
      <c r="I556" s="51"/>
      <c r="J556" s="51"/>
    </row>
    <row r="557" customFormat="false" ht="15" hidden="false" customHeight="false" outlineLevel="0" collapsed="false">
      <c r="A557" s="65"/>
      <c r="B557" s="51"/>
      <c r="C557" s="51"/>
      <c r="D557" s="51"/>
      <c r="E557" s="60" t="str">
        <f aca="false">IF(D557="","",IFERROR(INDEX(Settings!$C$16:$C$45,MATCH(D557,Settings!$B$16:$B$45,0)),"Check category"))</f>
        <v/>
      </c>
      <c r="F557" s="76"/>
      <c r="G557" s="51"/>
      <c r="H557" s="51"/>
      <c r="I557" s="51"/>
      <c r="J557" s="51"/>
    </row>
    <row r="558" customFormat="false" ht="15" hidden="false" customHeight="false" outlineLevel="0" collapsed="false">
      <c r="A558" s="65"/>
      <c r="B558" s="51"/>
      <c r="C558" s="51"/>
      <c r="D558" s="51"/>
      <c r="E558" s="60" t="str">
        <f aca="false">IF(D558="","",IFERROR(INDEX(Settings!$C$16:$C$45,MATCH(D558,Settings!$B$16:$B$45,0)),"Check category"))</f>
        <v/>
      </c>
      <c r="F558" s="76"/>
      <c r="G558" s="51"/>
      <c r="H558" s="51"/>
      <c r="I558" s="51"/>
      <c r="J558" s="51"/>
    </row>
    <row r="559" customFormat="false" ht="15" hidden="false" customHeight="false" outlineLevel="0" collapsed="false">
      <c r="A559" s="65"/>
      <c r="B559" s="51"/>
      <c r="C559" s="51"/>
      <c r="D559" s="51"/>
      <c r="E559" s="60" t="str">
        <f aca="false">IF(D559="","",IFERROR(INDEX(Settings!$C$16:$C$45,MATCH(D559,Settings!$B$16:$B$45,0)),"Check category"))</f>
        <v/>
      </c>
      <c r="F559" s="76"/>
      <c r="G559" s="51"/>
      <c r="H559" s="51"/>
      <c r="I559" s="51"/>
      <c r="J559" s="51"/>
    </row>
    <row r="560" customFormat="false" ht="15" hidden="false" customHeight="false" outlineLevel="0" collapsed="false">
      <c r="A560" s="65"/>
      <c r="B560" s="51"/>
      <c r="C560" s="51"/>
      <c r="D560" s="51"/>
      <c r="E560" s="60" t="str">
        <f aca="false">IF(D560="","",IFERROR(INDEX(Settings!$C$16:$C$45,MATCH(D560,Settings!$B$16:$B$45,0)),"Check category"))</f>
        <v/>
      </c>
      <c r="F560" s="76"/>
      <c r="G560" s="51"/>
      <c r="H560" s="51"/>
      <c r="I560" s="51"/>
      <c r="J560" s="51"/>
    </row>
    <row r="561" customFormat="false" ht="15" hidden="false" customHeight="false" outlineLevel="0" collapsed="false">
      <c r="A561" s="65"/>
      <c r="B561" s="51"/>
      <c r="C561" s="51"/>
      <c r="D561" s="51"/>
      <c r="E561" s="60" t="str">
        <f aca="false">IF(D561="","",IFERROR(INDEX(Settings!$C$16:$C$45,MATCH(D561,Settings!$B$16:$B$45,0)),"Check category"))</f>
        <v/>
      </c>
      <c r="F561" s="76"/>
      <c r="G561" s="51"/>
      <c r="H561" s="51"/>
      <c r="I561" s="51"/>
      <c r="J561" s="51"/>
    </row>
    <row r="562" customFormat="false" ht="15" hidden="false" customHeight="false" outlineLevel="0" collapsed="false">
      <c r="A562" s="65"/>
      <c r="B562" s="51"/>
      <c r="C562" s="51"/>
      <c r="D562" s="51"/>
      <c r="E562" s="60" t="str">
        <f aca="false">IF(D562="","",IFERROR(INDEX(Settings!$C$16:$C$45,MATCH(D562,Settings!$B$16:$B$45,0)),"Check category"))</f>
        <v/>
      </c>
      <c r="F562" s="76"/>
      <c r="G562" s="51"/>
      <c r="H562" s="51"/>
      <c r="I562" s="51"/>
      <c r="J562" s="51"/>
    </row>
    <row r="563" customFormat="false" ht="15" hidden="false" customHeight="false" outlineLevel="0" collapsed="false">
      <c r="A563" s="65"/>
      <c r="B563" s="51"/>
      <c r="C563" s="51"/>
      <c r="D563" s="51"/>
      <c r="E563" s="60" t="str">
        <f aca="false">IF(D563="","",IFERROR(INDEX(Settings!$C$16:$C$45,MATCH(D563,Settings!$B$16:$B$45,0)),"Check category"))</f>
        <v/>
      </c>
      <c r="F563" s="76"/>
      <c r="G563" s="51"/>
      <c r="H563" s="51"/>
      <c r="I563" s="51"/>
      <c r="J563" s="51"/>
    </row>
    <row r="564" customFormat="false" ht="15" hidden="false" customHeight="false" outlineLevel="0" collapsed="false">
      <c r="A564" s="65"/>
      <c r="B564" s="51"/>
      <c r="C564" s="51"/>
      <c r="D564" s="51"/>
      <c r="E564" s="60" t="str">
        <f aca="false">IF(D564="","",IFERROR(INDEX(Settings!$C$16:$C$45,MATCH(D564,Settings!$B$16:$B$45,0)),"Check category"))</f>
        <v/>
      </c>
      <c r="F564" s="76"/>
      <c r="G564" s="51"/>
      <c r="H564" s="51"/>
      <c r="I564" s="51"/>
      <c r="J564" s="51"/>
    </row>
    <row r="565" customFormat="false" ht="15" hidden="false" customHeight="false" outlineLevel="0" collapsed="false">
      <c r="A565" s="65"/>
      <c r="B565" s="51"/>
      <c r="C565" s="51"/>
      <c r="D565" s="51"/>
      <c r="E565" s="60" t="str">
        <f aca="false">IF(D565="","",IFERROR(INDEX(Settings!$C$16:$C$45,MATCH(D565,Settings!$B$16:$B$45,0)),"Check category"))</f>
        <v/>
      </c>
      <c r="F565" s="76"/>
      <c r="G565" s="51"/>
      <c r="H565" s="51"/>
      <c r="I565" s="51"/>
      <c r="J565" s="51"/>
    </row>
    <row r="566" customFormat="false" ht="15" hidden="false" customHeight="false" outlineLevel="0" collapsed="false">
      <c r="A566" s="65"/>
      <c r="B566" s="51"/>
      <c r="C566" s="51"/>
      <c r="D566" s="51"/>
      <c r="E566" s="60" t="str">
        <f aca="false">IF(D566="","",IFERROR(INDEX(Settings!$C$16:$C$45,MATCH(D566,Settings!$B$16:$B$45,0)),"Check category"))</f>
        <v/>
      </c>
      <c r="F566" s="76"/>
      <c r="G566" s="51"/>
      <c r="H566" s="51"/>
      <c r="I566" s="51"/>
      <c r="J566" s="51"/>
    </row>
    <row r="567" customFormat="false" ht="15" hidden="false" customHeight="false" outlineLevel="0" collapsed="false">
      <c r="A567" s="65"/>
      <c r="B567" s="51"/>
      <c r="C567" s="51"/>
      <c r="D567" s="51"/>
      <c r="E567" s="60" t="str">
        <f aca="false">IF(D567="","",IFERROR(INDEX(Settings!$C$16:$C$45,MATCH(D567,Settings!$B$16:$B$45,0)),"Check category"))</f>
        <v/>
      </c>
      <c r="F567" s="76"/>
      <c r="G567" s="51"/>
      <c r="H567" s="51"/>
      <c r="I567" s="51"/>
      <c r="J567" s="51"/>
    </row>
    <row r="568" customFormat="false" ht="15" hidden="false" customHeight="false" outlineLevel="0" collapsed="false">
      <c r="A568" s="65"/>
      <c r="B568" s="51"/>
      <c r="C568" s="51"/>
      <c r="D568" s="51"/>
      <c r="E568" s="60" t="str">
        <f aca="false">IF(D568="","",IFERROR(INDEX(Settings!$C$16:$C$45,MATCH(D568,Settings!$B$16:$B$45,0)),"Check category"))</f>
        <v/>
      </c>
      <c r="F568" s="76"/>
      <c r="G568" s="51"/>
      <c r="H568" s="51"/>
      <c r="I568" s="51"/>
      <c r="J568" s="51"/>
    </row>
    <row r="569" customFormat="false" ht="15" hidden="false" customHeight="false" outlineLevel="0" collapsed="false">
      <c r="A569" s="65"/>
      <c r="B569" s="51"/>
      <c r="C569" s="51"/>
      <c r="D569" s="51"/>
      <c r="E569" s="60" t="str">
        <f aca="false">IF(D569="","",IFERROR(INDEX(Settings!$C$16:$C$45,MATCH(D569,Settings!$B$16:$B$45,0)),"Check category"))</f>
        <v/>
      </c>
      <c r="F569" s="76"/>
      <c r="G569" s="51"/>
      <c r="H569" s="51"/>
      <c r="I569" s="51"/>
      <c r="J569" s="51"/>
    </row>
    <row r="570" customFormat="false" ht="15" hidden="false" customHeight="false" outlineLevel="0" collapsed="false">
      <c r="A570" s="65"/>
      <c r="B570" s="51"/>
      <c r="C570" s="51"/>
      <c r="D570" s="51"/>
      <c r="E570" s="60" t="str">
        <f aca="false">IF(D570="","",IFERROR(INDEX(Settings!$C$16:$C$45,MATCH(D570,Settings!$B$16:$B$45,0)),"Check category"))</f>
        <v/>
      </c>
      <c r="F570" s="76"/>
      <c r="G570" s="51"/>
      <c r="H570" s="51"/>
      <c r="I570" s="51"/>
      <c r="J570" s="51"/>
    </row>
    <row r="571" customFormat="false" ht="15" hidden="false" customHeight="false" outlineLevel="0" collapsed="false">
      <c r="A571" s="65"/>
      <c r="B571" s="51"/>
      <c r="C571" s="51"/>
      <c r="D571" s="51"/>
      <c r="E571" s="60" t="str">
        <f aca="false">IF(D571="","",IFERROR(INDEX(Settings!$C$16:$C$45,MATCH(D571,Settings!$B$16:$B$45,0)),"Check category"))</f>
        <v/>
      </c>
      <c r="F571" s="76"/>
      <c r="G571" s="51"/>
      <c r="H571" s="51"/>
      <c r="I571" s="51"/>
      <c r="J571" s="51"/>
    </row>
    <row r="572" customFormat="false" ht="15" hidden="false" customHeight="false" outlineLevel="0" collapsed="false">
      <c r="A572" s="65"/>
      <c r="B572" s="51"/>
      <c r="C572" s="51"/>
      <c r="D572" s="51"/>
      <c r="E572" s="60" t="str">
        <f aca="false">IF(D572="","",IFERROR(INDEX(Settings!$C$16:$C$45,MATCH(D572,Settings!$B$16:$B$45,0)),"Check category"))</f>
        <v/>
      </c>
      <c r="F572" s="76"/>
      <c r="G572" s="51"/>
      <c r="H572" s="51"/>
      <c r="I572" s="51"/>
      <c r="J572" s="51"/>
    </row>
    <row r="573" customFormat="false" ht="15" hidden="false" customHeight="false" outlineLevel="0" collapsed="false">
      <c r="A573" s="65"/>
      <c r="B573" s="51"/>
      <c r="C573" s="51"/>
      <c r="D573" s="51"/>
      <c r="E573" s="60" t="str">
        <f aca="false">IF(D573="","",IFERROR(INDEX(Settings!$C$16:$C$45,MATCH(D573,Settings!$B$16:$B$45,0)),"Check category"))</f>
        <v/>
      </c>
      <c r="F573" s="76"/>
      <c r="G573" s="51"/>
      <c r="H573" s="51"/>
      <c r="I573" s="51"/>
      <c r="J573" s="51"/>
    </row>
    <row r="574" customFormat="false" ht="15" hidden="false" customHeight="false" outlineLevel="0" collapsed="false">
      <c r="A574" s="65"/>
      <c r="B574" s="51"/>
      <c r="C574" s="51"/>
      <c r="D574" s="51"/>
      <c r="E574" s="60" t="str">
        <f aca="false">IF(D574="","",IFERROR(INDEX(Settings!$C$16:$C$45,MATCH(D574,Settings!$B$16:$B$45,0)),"Check category"))</f>
        <v/>
      </c>
      <c r="F574" s="76"/>
      <c r="G574" s="51"/>
      <c r="H574" s="51"/>
      <c r="I574" s="51"/>
      <c r="J574" s="51"/>
    </row>
    <row r="575" customFormat="false" ht="15" hidden="false" customHeight="false" outlineLevel="0" collapsed="false">
      <c r="A575" s="65"/>
      <c r="B575" s="51"/>
      <c r="C575" s="51"/>
      <c r="D575" s="51"/>
      <c r="E575" s="60" t="str">
        <f aca="false">IF(D575="","",IFERROR(INDEX(Settings!$C$16:$C$45,MATCH(D575,Settings!$B$16:$B$45,0)),"Check category"))</f>
        <v/>
      </c>
      <c r="F575" s="76"/>
      <c r="G575" s="51"/>
      <c r="H575" s="51"/>
      <c r="I575" s="51"/>
      <c r="J575" s="51"/>
    </row>
    <row r="576" customFormat="false" ht="15" hidden="false" customHeight="false" outlineLevel="0" collapsed="false">
      <c r="A576" s="65"/>
      <c r="B576" s="51"/>
      <c r="C576" s="51"/>
      <c r="D576" s="51"/>
      <c r="E576" s="60" t="str">
        <f aca="false">IF(D576="","",IFERROR(INDEX(Settings!$C$16:$C$45,MATCH(D576,Settings!$B$16:$B$45,0)),"Check category"))</f>
        <v/>
      </c>
      <c r="F576" s="76"/>
      <c r="G576" s="51"/>
      <c r="H576" s="51"/>
      <c r="I576" s="51"/>
      <c r="J576" s="51"/>
    </row>
    <row r="577" customFormat="false" ht="15" hidden="false" customHeight="false" outlineLevel="0" collapsed="false">
      <c r="A577" s="65"/>
      <c r="B577" s="51"/>
      <c r="C577" s="51"/>
      <c r="D577" s="51"/>
      <c r="E577" s="60" t="str">
        <f aca="false">IF(D577="","",IFERROR(INDEX(Settings!$C$16:$C$45,MATCH(D577,Settings!$B$16:$B$45,0)),"Check category"))</f>
        <v/>
      </c>
      <c r="F577" s="76"/>
      <c r="G577" s="51"/>
      <c r="H577" s="51"/>
      <c r="I577" s="51"/>
      <c r="J577" s="51"/>
    </row>
    <row r="578" customFormat="false" ht="15" hidden="false" customHeight="false" outlineLevel="0" collapsed="false">
      <c r="A578" s="65"/>
      <c r="B578" s="51"/>
      <c r="C578" s="51"/>
      <c r="D578" s="51"/>
      <c r="E578" s="60" t="str">
        <f aca="false">IF(D578="","",IFERROR(INDEX(Settings!$C$16:$C$45,MATCH(D578,Settings!$B$16:$B$45,0)),"Check category"))</f>
        <v/>
      </c>
      <c r="F578" s="76"/>
      <c r="G578" s="51"/>
      <c r="H578" s="51"/>
      <c r="I578" s="51"/>
      <c r="J578" s="51"/>
    </row>
    <row r="579" customFormat="false" ht="15" hidden="false" customHeight="false" outlineLevel="0" collapsed="false">
      <c r="A579" s="65"/>
      <c r="B579" s="51"/>
      <c r="C579" s="51"/>
      <c r="D579" s="51"/>
      <c r="E579" s="60" t="str">
        <f aca="false">IF(D579="","",IFERROR(INDEX(Settings!$C$16:$C$45,MATCH(D579,Settings!$B$16:$B$45,0)),"Check category"))</f>
        <v/>
      </c>
      <c r="F579" s="76"/>
      <c r="G579" s="51"/>
      <c r="H579" s="51"/>
      <c r="I579" s="51"/>
      <c r="J579" s="51"/>
    </row>
    <row r="580" customFormat="false" ht="15" hidden="false" customHeight="false" outlineLevel="0" collapsed="false">
      <c r="A580" s="65"/>
      <c r="B580" s="51"/>
      <c r="C580" s="51"/>
      <c r="D580" s="51"/>
      <c r="E580" s="60" t="str">
        <f aca="false">IF(D580="","",IFERROR(INDEX(Settings!$C$16:$C$45,MATCH(D580,Settings!$B$16:$B$45,0)),"Check category"))</f>
        <v/>
      </c>
      <c r="F580" s="76"/>
      <c r="G580" s="51"/>
      <c r="H580" s="51"/>
      <c r="I580" s="51"/>
      <c r="J580" s="51"/>
    </row>
    <row r="581" customFormat="false" ht="15" hidden="false" customHeight="false" outlineLevel="0" collapsed="false">
      <c r="A581" s="65"/>
      <c r="B581" s="51"/>
      <c r="C581" s="51"/>
      <c r="D581" s="51"/>
      <c r="E581" s="60" t="str">
        <f aca="false">IF(D581="","",IFERROR(INDEX(Settings!$C$16:$C$45,MATCH(D581,Settings!$B$16:$B$45,0)),"Check category"))</f>
        <v/>
      </c>
      <c r="F581" s="76"/>
      <c r="G581" s="51"/>
      <c r="H581" s="51"/>
      <c r="I581" s="51"/>
      <c r="J581" s="51"/>
    </row>
    <row r="582" customFormat="false" ht="15" hidden="false" customHeight="false" outlineLevel="0" collapsed="false">
      <c r="A582" s="65"/>
      <c r="B582" s="51"/>
      <c r="C582" s="51"/>
      <c r="D582" s="51"/>
      <c r="E582" s="60" t="str">
        <f aca="false">IF(D582="","",IFERROR(INDEX(Settings!$C$16:$C$45,MATCH(D582,Settings!$B$16:$B$45,0)),"Check category"))</f>
        <v/>
      </c>
      <c r="F582" s="76"/>
      <c r="G582" s="51"/>
      <c r="H582" s="51"/>
      <c r="I582" s="51"/>
      <c r="J582" s="51"/>
    </row>
    <row r="583" customFormat="false" ht="15" hidden="false" customHeight="false" outlineLevel="0" collapsed="false">
      <c r="A583" s="65"/>
      <c r="B583" s="51"/>
      <c r="C583" s="51"/>
      <c r="D583" s="51"/>
      <c r="E583" s="60" t="str">
        <f aca="false">IF(D583="","",IFERROR(INDEX(Settings!$C$16:$C$45,MATCH(D583,Settings!$B$16:$B$45,0)),"Check category"))</f>
        <v/>
      </c>
      <c r="F583" s="76"/>
      <c r="G583" s="51"/>
      <c r="H583" s="51"/>
      <c r="I583" s="51"/>
      <c r="J583" s="51"/>
    </row>
    <row r="584" customFormat="false" ht="15" hidden="false" customHeight="false" outlineLevel="0" collapsed="false">
      <c r="A584" s="65"/>
      <c r="B584" s="51"/>
      <c r="C584" s="51"/>
      <c r="D584" s="51"/>
      <c r="E584" s="60" t="str">
        <f aca="false">IF(D584="","",IFERROR(INDEX(Settings!$C$16:$C$45,MATCH(D584,Settings!$B$16:$B$45,0)),"Check category"))</f>
        <v/>
      </c>
      <c r="F584" s="76"/>
      <c r="G584" s="51"/>
      <c r="H584" s="51"/>
      <c r="I584" s="51"/>
      <c r="J584" s="51"/>
    </row>
    <row r="585" customFormat="false" ht="15" hidden="false" customHeight="false" outlineLevel="0" collapsed="false">
      <c r="A585" s="65"/>
      <c r="B585" s="51"/>
      <c r="C585" s="51"/>
      <c r="D585" s="51"/>
      <c r="E585" s="60" t="str">
        <f aca="false">IF(D585="","",IFERROR(INDEX(Settings!$C$16:$C$45,MATCH(D585,Settings!$B$16:$B$45,0)),"Check category"))</f>
        <v/>
      </c>
      <c r="F585" s="76"/>
      <c r="G585" s="51"/>
      <c r="H585" s="51"/>
      <c r="I585" s="51"/>
      <c r="J585" s="51"/>
    </row>
    <row r="586" customFormat="false" ht="15" hidden="false" customHeight="false" outlineLevel="0" collapsed="false">
      <c r="A586" s="65"/>
      <c r="B586" s="51"/>
      <c r="C586" s="51"/>
      <c r="D586" s="51"/>
      <c r="E586" s="60" t="str">
        <f aca="false">IF(D586="","",IFERROR(INDEX(Settings!$C$16:$C$45,MATCH(D586,Settings!$B$16:$B$45,0)),"Check category"))</f>
        <v/>
      </c>
      <c r="F586" s="76"/>
      <c r="G586" s="51"/>
      <c r="H586" s="51"/>
      <c r="I586" s="51"/>
      <c r="J586" s="51"/>
    </row>
    <row r="587" customFormat="false" ht="15" hidden="false" customHeight="false" outlineLevel="0" collapsed="false">
      <c r="A587" s="65"/>
      <c r="B587" s="51"/>
      <c r="C587" s="51"/>
      <c r="D587" s="51"/>
      <c r="E587" s="60" t="str">
        <f aca="false">IF(D587="","",IFERROR(INDEX(Settings!$C$16:$C$45,MATCH(D587,Settings!$B$16:$B$45,0)),"Check category"))</f>
        <v/>
      </c>
      <c r="F587" s="76"/>
      <c r="G587" s="51"/>
      <c r="H587" s="51"/>
      <c r="I587" s="51"/>
      <c r="J587" s="51"/>
    </row>
    <row r="588" customFormat="false" ht="15" hidden="false" customHeight="false" outlineLevel="0" collapsed="false">
      <c r="A588" s="65"/>
      <c r="B588" s="51"/>
      <c r="C588" s="51"/>
      <c r="D588" s="51"/>
      <c r="E588" s="60" t="str">
        <f aca="false">IF(D588="","",IFERROR(INDEX(Settings!$C$16:$C$45,MATCH(D588,Settings!$B$16:$B$45,0)),"Check category"))</f>
        <v/>
      </c>
      <c r="F588" s="76"/>
      <c r="G588" s="51"/>
      <c r="H588" s="51"/>
      <c r="I588" s="51"/>
      <c r="J588" s="51"/>
    </row>
    <row r="589" customFormat="false" ht="15" hidden="false" customHeight="false" outlineLevel="0" collapsed="false">
      <c r="A589" s="65"/>
      <c r="B589" s="51"/>
      <c r="C589" s="51"/>
      <c r="D589" s="51"/>
      <c r="E589" s="60" t="str">
        <f aca="false">IF(D589="","",IFERROR(INDEX(Settings!$C$16:$C$45,MATCH(D589,Settings!$B$16:$B$45,0)),"Check category"))</f>
        <v/>
      </c>
      <c r="F589" s="76"/>
      <c r="G589" s="51"/>
      <c r="H589" s="51"/>
      <c r="I589" s="51"/>
      <c r="J589" s="51"/>
    </row>
    <row r="590" customFormat="false" ht="15" hidden="false" customHeight="false" outlineLevel="0" collapsed="false">
      <c r="A590" s="65"/>
      <c r="B590" s="51"/>
      <c r="C590" s="51"/>
      <c r="D590" s="51"/>
      <c r="E590" s="60" t="str">
        <f aca="false">IF(D590="","",IFERROR(INDEX(Settings!$C$16:$C$45,MATCH(D590,Settings!$B$16:$B$45,0)),"Check category"))</f>
        <v/>
      </c>
      <c r="F590" s="76"/>
      <c r="G590" s="51"/>
      <c r="H590" s="51"/>
      <c r="I590" s="51"/>
      <c r="J590" s="51"/>
    </row>
    <row r="591" customFormat="false" ht="15" hidden="false" customHeight="false" outlineLevel="0" collapsed="false">
      <c r="A591" s="65"/>
      <c r="B591" s="51"/>
      <c r="C591" s="51"/>
      <c r="D591" s="51"/>
      <c r="E591" s="60" t="str">
        <f aca="false">IF(D591="","",IFERROR(INDEX(Settings!$C$16:$C$45,MATCH(D591,Settings!$B$16:$B$45,0)),"Check category"))</f>
        <v/>
      </c>
      <c r="F591" s="76"/>
      <c r="G591" s="51"/>
      <c r="H591" s="51"/>
      <c r="I591" s="51"/>
      <c r="J591" s="51"/>
    </row>
    <row r="592" customFormat="false" ht="15" hidden="false" customHeight="false" outlineLevel="0" collapsed="false">
      <c r="A592" s="65"/>
      <c r="B592" s="51"/>
      <c r="C592" s="51"/>
      <c r="D592" s="51"/>
      <c r="E592" s="60" t="str">
        <f aca="false">IF(D592="","",IFERROR(INDEX(Settings!$C$16:$C$45,MATCH(D592,Settings!$B$16:$B$45,0)),"Check category"))</f>
        <v/>
      </c>
      <c r="F592" s="76"/>
      <c r="G592" s="51"/>
      <c r="H592" s="51"/>
      <c r="I592" s="51"/>
      <c r="J592" s="51"/>
    </row>
    <row r="593" customFormat="false" ht="15" hidden="false" customHeight="false" outlineLevel="0" collapsed="false">
      <c r="A593" s="65"/>
      <c r="B593" s="51"/>
      <c r="C593" s="51"/>
      <c r="D593" s="51"/>
      <c r="E593" s="60" t="str">
        <f aca="false">IF(D593="","",IFERROR(INDEX(Settings!$C$16:$C$45,MATCH(D593,Settings!$B$16:$B$45,0)),"Check category"))</f>
        <v/>
      </c>
      <c r="F593" s="76"/>
      <c r="G593" s="51"/>
      <c r="H593" s="51"/>
      <c r="I593" s="51"/>
      <c r="J593" s="51"/>
    </row>
    <row r="594" customFormat="false" ht="15" hidden="false" customHeight="false" outlineLevel="0" collapsed="false">
      <c r="A594" s="65"/>
      <c r="B594" s="51"/>
      <c r="C594" s="51"/>
      <c r="D594" s="51"/>
      <c r="E594" s="60" t="str">
        <f aca="false">IF(D594="","",IFERROR(INDEX(Settings!$C$16:$C$45,MATCH(D594,Settings!$B$16:$B$45,0)),"Check category"))</f>
        <v/>
      </c>
      <c r="F594" s="76"/>
      <c r="G594" s="51"/>
      <c r="H594" s="51"/>
      <c r="I594" s="51"/>
      <c r="J594" s="51"/>
    </row>
    <row r="595" customFormat="false" ht="15" hidden="false" customHeight="false" outlineLevel="0" collapsed="false">
      <c r="A595" s="65"/>
      <c r="B595" s="51"/>
      <c r="C595" s="51"/>
      <c r="D595" s="51"/>
      <c r="E595" s="60" t="str">
        <f aca="false">IF(D595="","",IFERROR(INDEX(Settings!$C$16:$C$45,MATCH(D595,Settings!$B$16:$B$45,0)),"Check category"))</f>
        <v/>
      </c>
      <c r="F595" s="76"/>
      <c r="G595" s="51"/>
      <c r="H595" s="51"/>
      <c r="I595" s="51"/>
      <c r="J595" s="51"/>
    </row>
    <row r="596" customFormat="false" ht="15" hidden="false" customHeight="false" outlineLevel="0" collapsed="false">
      <c r="A596" s="65"/>
      <c r="B596" s="51"/>
      <c r="C596" s="51"/>
      <c r="D596" s="51"/>
      <c r="E596" s="60" t="str">
        <f aca="false">IF(D596="","",IFERROR(INDEX(Settings!$C$16:$C$45,MATCH(D596,Settings!$B$16:$B$45,0)),"Check category"))</f>
        <v/>
      </c>
      <c r="F596" s="76"/>
      <c r="G596" s="51"/>
      <c r="H596" s="51"/>
      <c r="I596" s="51"/>
      <c r="J596" s="51"/>
    </row>
    <row r="597" customFormat="false" ht="15" hidden="false" customHeight="false" outlineLevel="0" collapsed="false">
      <c r="A597" s="65"/>
      <c r="B597" s="51"/>
      <c r="C597" s="51"/>
      <c r="D597" s="51"/>
      <c r="E597" s="60" t="str">
        <f aca="false">IF(D597="","",IFERROR(INDEX(Settings!$C$16:$C$45,MATCH(D597,Settings!$B$16:$B$45,0)),"Check category"))</f>
        <v/>
      </c>
      <c r="F597" s="76"/>
      <c r="G597" s="51"/>
      <c r="H597" s="51"/>
      <c r="I597" s="51"/>
      <c r="J597" s="51"/>
    </row>
    <row r="598" customFormat="false" ht="15" hidden="false" customHeight="false" outlineLevel="0" collapsed="false">
      <c r="A598" s="65"/>
      <c r="B598" s="51"/>
      <c r="C598" s="51"/>
      <c r="D598" s="51"/>
      <c r="E598" s="60" t="str">
        <f aca="false">IF(D598="","",IFERROR(INDEX(Settings!$C$16:$C$45,MATCH(D598,Settings!$B$16:$B$45,0)),"Check category"))</f>
        <v/>
      </c>
      <c r="F598" s="76"/>
      <c r="G598" s="51"/>
      <c r="H598" s="51"/>
      <c r="I598" s="51"/>
      <c r="J598" s="51"/>
    </row>
    <row r="599" customFormat="false" ht="15" hidden="false" customHeight="false" outlineLevel="0" collapsed="false">
      <c r="A599" s="65"/>
      <c r="B599" s="51"/>
      <c r="C599" s="51"/>
      <c r="D599" s="51"/>
      <c r="E599" s="60" t="str">
        <f aca="false">IF(D599="","",IFERROR(INDEX(Settings!$C$16:$C$45,MATCH(D599,Settings!$B$16:$B$45,0)),"Check category"))</f>
        <v/>
      </c>
      <c r="F599" s="76"/>
      <c r="G599" s="51"/>
      <c r="H599" s="51"/>
      <c r="I599" s="51"/>
      <c r="J599" s="51"/>
    </row>
    <row r="600" customFormat="false" ht="15" hidden="false" customHeight="false" outlineLevel="0" collapsed="false">
      <c r="A600" s="65"/>
      <c r="B600" s="51"/>
      <c r="C600" s="51"/>
      <c r="D600" s="51"/>
      <c r="E600" s="60" t="str">
        <f aca="false">IF(D600="","",IFERROR(INDEX(Settings!$C$16:$C$45,MATCH(D600,Settings!$B$16:$B$45,0)),"Check category"))</f>
        <v/>
      </c>
      <c r="F600" s="76"/>
      <c r="G600" s="51"/>
      <c r="H600" s="51"/>
      <c r="I600" s="51"/>
      <c r="J600" s="51"/>
    </row>
    <row r="601" customFormat="false" ht="15" hidden="false" customHeight="false" outlineLevel="0" collapsed="false">
      <c r="A601" s="65"/>
      <c r="B601" s="51"/>
      <c r="C601" s="51"/>
      <c r="D601" s="51"/>
      <c r="E601" s="60" t="str">
        <f aca="false">IF(D601="","",IFERROR(INDEX(Settings!$C$16:$C$45,MATCH(D601,Settings!$B$16:$B$45,0)),"Check category"))</f>
        <v/>
      </c>
      <c r="F601" s="76"/>
      <c r="G601" s="51"/>
      <c r="H601" s="51"/>
      <c r="I601" s="51"/>
      <c r="J601" s="51"/>
    </row>
    <row r="602" customFormat="false" ht="15" hidden="false" customHeight="false" outlineLevel="0" collapsed="false">
      <c r="A602" s="65"/>
      <c r="B602" s="51"/>
      <c r="C602" s="51"/>
      <c r="D602" s="51"/>
      <c r="E602" s="60" t="str">
        <f aca="false">IF(D602="","",IFERROR(INDEX(Settings!$C$16:$C$45,MATCH(D602,Settings!$B$16:$B$45,0)),"Check category"))</f>
        <v/>
      </c>
      <c r="F602" s="76"/>
      <c r="G602" s="51"/>
      <c r="H602" s="51"/>
      <c r="I602" s="51"/>
      <c r="J602" s="51"/>
    </row>
    <row r="603" customFormat="false" ht="15" hidden="false" customHeight="false" outlineLevel="0" collapsed="false">
      <c r="A603" s="65"/>
      <c r="B603" s="51"/>
      <c r="C603" s="51"/>
      <c r="D603" s="51"/>
      <c r="E603" s="60" t="str">
        <f aca="false">IF(D603="","",IFERROR(INDEX(Settings!$C$16:$C$45,MATCH(D603,Settings!$B$16:$B$45,0)),"Check category"))</f>
        <v/>
      </c>
      <c r="F603" s="76"/>
      <c r="G603" s="51"/>
      <c r="H603" s="51"/>
      <c r="I603" s="51"/>
      <c r="J603" s="51"/>
    </row>
    <row r="604" customFormat="false" ht="15" hidden="false" customHeight="false" outlineLevel="0" collapsed="false">
      <c r="A604" s="65"/>
      <c r="B604" s="51"/>
      <c r="C604" s="51"/>
      <c r="D604" s="51"/>
      <c r="E604" s="60" t="str">
        <f aca="false">IF(D604="","",IFERROR(INDEX(Settings!$C$16:$C$45,MATCH(D604,Settings!$B$16:$B$45,0)),"Check category"))</f>
        <v/>
      </c>
      <c r="F604" s="76"/>
      <c r="G604" s="51"/>
      <c r="H604" s="51"/>
      <c r="I604" s="51"/>
      <c r="J604" s="51"/>
    </row>
    <row r="605" customFormat="false" ht="15" hidden="false" customHeight="false" outlineLevel="0" collapsed="false">
      <c r="A605" s="65"/>
      <c r="B605" s="51"/>
      <c r="C605" s="51"/>
      <c r="D605" s="51"/>
      <c r="E605" s="60" t="str">
        <f aca="false">IF(D605="","",IFERROR(INDEX(Settings!$C$16:$C$45,MATCH(D605,Settings!$B$16:$B$45,0)),"Check category"))</f>
        <v/>
      </c>
      <c r="F605" s="76"/>
      <c r="G605" s="51"/>
      <c r="H605" s="51"/>
      <c r="I605" s="51"/>
      <c r="J605" s="51"/>
    </row>
    <row r="606" customFormat="false" ht="15" hidden="false" customHeight="false" outlineLevel="0" collapsed="false">
      <c r="A606" s="65"/>
      <c r="B606" s="51"/>
      <c r="C606" s="51"/>
      <c r="D606" s="51"/>
      <c r="E606" s="60" t="str">
        <f aca="false">IF(D606="","",IFERROR(INDEX(Settings!$C$16:$C$45,MATCH(D606,Settings!$B$16:$B$45,0)),"Check category"))</f>
        <v/>
      </c>
      <c r="F606" s="76"/>
      <c r="G606" s="51"/>
      <c r="H606" s="51"/>
      <c r="I606" s="51"/>
      <c r="J606" s="51"/>
    </row>
    <row r="607" customFormat="false" ht="15" hidden="false" customHeight="false" outlineLevel="0" collapsed="false">
      <c r="A607" s="65"/>
      <c r="B607" s="51"/>
      <c r="C607" s="51"/>
      <c r="D607" s="51"/>
      <c r="E607" s="60" t="str">
        <f aca="false">IF(D607="","",IFERROR(INDEX(Settings!$C$16:$C$45,MATCH(D607,Settings!$B$16:$B$45,0)),"Check category"))</f>
        <v/>
      </c>
      <c r="F607" s="76"/>
      <c r="G607" s="51"/>
      <c r="H607" s="51"/>
      <c r="I607" s="51"/>
      <c r="J607" s="51"/>
    </row>
    <row r="608" customFormat="false" ht="15" hidden="false" customHeight="false" outlineLevel="0" collapsed="false">
      <c r="A608" s="65"/>
      <c r="B608" s="51"/>
      <c r="C608" s="51"/>
      <c r="D608" s="51"/>
      <c r="E608" s="60" t="str">
        <f aca="false">IF(D608="","",IFERROR(INDEX(Settings!$C$16:$C$45,MATCH(D608,Settings!$B$16:$B$45,0)),"Check category"))</f>
        <v/>
      </c>
      <c r="F608" s="76"/>
      <c r="G608" s="51"/>
      <c r="H608" s="51"/>
      <c r="I608" s="51"/>
      <c r="J608" s="51"/>
    </row>
    <row r="609" customFormat="false" ht="15" hidden="false" customHeight="false" outlineLevel="0" collapsed="false">
      <c r="A609" s="65"/>
      <c r="B609" s="51"/>
      <c r="C609" s="51"/>
      <c r="D609" s="51"/>
      <c r="E609" s="60" t="str">
        <f aca="false">IF(D609="","",IFERROR(INDEX(Settings!$C$16:$C$45,MATCH(D609,Settings!$B$16:$B$45,0)),"Check category"))</f>
        <v/>
      </c>
      <c r="F609" s="76"/>
      <c r="G609" s="51"/>
      <c r="H609" s="51"/>
      <c r="I609" s="51"/>
      <c r="J609" s="51"/>
    </row>
    <row r="610" customFormat="false" ht="15" hidden="false" customHeight="false" outlineLevel="0" collapsed="false">
      <c r="A610" s="65"/>
      <c r="B610" s="51"/>
      <c r="C610" s="51"/>
      <c r="D610" s="51"/>
      <c r="E610" s="60" t="str">
        <f aca="false">IF(D610="","",IFERROR(INDEX(Settings!$C$16:$C$45,MATCH(D610,Settings!$B$16:$B$45,0)),"Check category"))</f>
        <v/>
      </c>
      <c r="F610" s="76"/>
      <c r="G610" s="51"/>
      <c r="H610" s="51"/>
      <c r="I610" s="51"/>
      <c r="J610" s="51"/>
    </row>
    <row r="611" customFormat="false" ht="15" hidden="false" customHeight="false" outlineLevel="0" collapsed="false">
      <c r="A611" s="65"/>
      <c r="B611" s="51"/>
      <c r="C611" s="51"/>
      <c r="D611" s="51"/>
      <c r="E611" s="60" t="str">
        <f aca="false">IF(D611="","",IFERROR(INDEX(Settings!$C$16:$C$45,MATCH(D611,Settings!$B$16:$B$45,0)),"Check category"))</f>
        <v/>
      </c>
      <c r="F611" s="76"/>
      <c r="G611" s="51"/>
      <c r="H611" s="51"/>
      <c r="I611" s="51"/>
      <c r="J611" s="51"/>
    </row>
    <row r="612" customFormat="false" ht="15" hidden="false" customHeight="false" outlineLevel="0" collapsed="false">
      <c r="A612" s="65"/>
      <c r="B612" s="51"/>
      <c r="C612" s="51"/>
      <c r="D612" s="51"/>
      <c r="E612" s="60" t="str">
        <f aca="false">IF(D612="","",IFERROR(INDEX(Settings!$C$16:$C$45,MATCH(D612,Settings!$B$16:$B$45,0)),"Check category"))</f>
        <v/>
      </c>
      <c r="F612" s="76"/>
      <c r="G612" s="51"/>
      <c r="H612" s="51"/>
      <c r="I612" s="51"/>
      <c r="J612" s="51"/>
    </row>
    <row r="613" customFormat="false" ht="15" hidden="false" customHeight="false" outlineLevel="0" collapsed="false">
      <c r="A613" s="65"/>
      <c r="B613" s="51"/>
      <c r="C613" s="51"/>
      <c r="D613" s="51"/>
      <c r="E613" s="60" t="str">
        <f aca="false">IF(D613="","",IFERROR(INDEX(Settings!$C$16:$C$45,MATCH(D613,Settings!$B$16:$B$45,0)),"Check category"))</f>
        <v/>
      </c>
      <c r="F613" s="76"/>
      <c r="G613" s="51"/>
      <c r="H613" s="51"/>
      <c r="I613" s="51"/>
      <c r="J613" s="51"/>
    </row>
    <row r="614" customFormat="false" ht="15" hidden="false" customHeight="false" outlineLevel="0" collapsed="false">
      <c r="A614" s="65"/>
      <c r="B614" s="51"/>
      <c r="C614" s="51"/>
      <c r="D614" s="51"/>
      <c r="E614" s="60" t="str">
        <f aca="false">IF(D614="","",IFERROR(INDEX(Settings!$C$16:$C$45,MATCH(D614,Settings!$B$16:$B$45,0)),"Check category"))</f>
        <v/>
      </c>
      <c r="F614" s="76"/>
      <c r="G614" s="51"/>
      <c r="H614" s="51"/>
      <c r="I614" s="51"/>
      <c r="J614" s="51"/>
    </row>
    <row r="615" customFormat="false" ht="15" hidden="false" customHeight="false" outlineLevel="0" collapsed="false">
      <c r="A615" s="65"/>
      <c r="B615" s="51"/>
      <c r="C615" s="51"/>
      <c r="D615" s="51"/>
      <c r="E615" s="60" t="str">
        <f aca="false">IF(D615="","",IFERROR(INDEX(Settings!$C$16:$C$45,MATCH(D615,Settings!$B$16:$B$45,0)),"Check category"))</f>
        <v/>
      </c>
      <c r="F615" s="76"/>
      <c r="G615" s="51"/>
      <c r="H615" s="51"/>
      <c r="I615" s="51"/>
      <c r="J615" s="51"/>
    </row>
    <row r="616" customFormat="false" ht="15" hidden="false" customHeight="false" outlineLevel="0" collapsed="false">
      <c r="A616" s="65"/>
      <c r="B616" s="51"/>
      <c r="C616" s="51"/>
      <c r="D616" s="51"/>
      <c r="E616" s="60" t="str">
        <f aca="false">IF(D616="","",IFERROR(INDEX(Settings!$C$16:$C$45,MATCH(D616,Settings!$B$16:$B$45,0)),"Check category"))</f>
        <v/>
      </c>
      <c r="F616" s="76"/>
      <c r="G616" s="51"/>
      <c r="H616" s="51"/>
      <c r="I616" s="51"/>
      <c r="J616" s="51"/>
    </row>
    <row r="617" customFormat="false" ht="15" hidden="false" customHeight="false" outlineLevel="0" collapsed="false">
      <c r="A617" s="65"/>
      <c r="B617" s="51"/>
      <c r="C617" s="51"/>
      <c r="D617" s="51"/>
      <c r="E617" s="60" t="str">
        <f aca="false">IF(D617="","",IFERROR(INDEX(Settings!$C$16:$C$45,MATCH(D617,Settings!$B$16:$B$45,0)),"Check category"))</f>
        <v/>
      </c>
      <c r="F617" s="76"/>
      <c r="G617" s="51"/>
      <c r="H617" s="51"/>
      <c r="I617" s="51"/>
      <c r="J617" s="51"/>
    </row>
    <row r="618" customFormat="false" ht="15" hidden="false" customHeight="false" outlineLevel="0" collapsed="false">
      <c r="A618" s="65"/>
      <c r="B618" s="51"/>
      <c r="C618" s="51"/>
      <c r="D618" s="51"/>
      <c r="E618" s="60" t="str">
        <f aca="false">IF(D618="","",IFERROR(INDEX(Settings!$C$16:$C$45,MATCH(D618,Settings!$B$16:$B$45,0)),"Check category"))</f>
        <v/>
      </c>
      <c r="F618" s="76"/>
      <c r="G618" s="51"/>
      <c r="H618" s="51"/>
      <c r="I618" s="51"/>
      <c r="J618" s="51"/>
    </row>
    <row r="619" customFormat="false" ht="15" hidden="false" customHeight="false" outlineLevel="0" collapsed="false">
      <c r="A619" s="65"/>
      <c r="B619" s="51"/>
      <c r="C619" s="51"/>
      <c r="D619" s="51"/>
      <c r="E619" s="60" t="str">
        <f aca="false">IF(D619="","",IFERROR(INDEX(Settings!$C$16:$C$45,MATCH(D619,Settings!$B$16:$B$45,0)),"Check category"))</f>
        <v/>
      </c>
      <c r="F619" s="76"/>
      <c r="G619" s="51"/>
      <c r="H619" s="51"/>
      <c r="I619" s="51"/>
      <c r="J619" s="51"/>
    </row>
    <row r="620" customFormat="false" ht="15" hidden="false" customHeight="false" outlineLevel="0" collapsed="false">
      <c r="A620" s="65"/>
      <c r="B620" s="51"/>
      <c r="C620" s="51"/>
      <c r="D620" s="51"/>
      <c r="E620" s="60" t="str">
        <f aca="false">IF(D620="","",IFERROR(INDEX(Settings!$C$16:$C$45,MATCH(D620,Settings!$B$16:$B$45,0)),"Check category"))</f>
        <v/>
      </c>
      <c r="F620" s="76"/>
      <c r="G620" s="51"/>
      <c r="H620" s="51"/>
      <c r="I620" s="51"/>
      <c r="J620" s="51"/>
    </row>
    <row r="621" customFormat="false" ht="15" hidden="false" customHeight="false" outlineLevel="0" collapsed="false">
      <c r="A621" s="65"/>
      <c r="B621" s="51"/>
      <c r="C621" s="51"/>
      <c r="D621" s="51"/>
      <c r="E621" s="60" t="str">
        <f aca="false">IF(D621="","",IFERROR(INDEX(Settings!$C$16:$C$45,MATCH(D621,Settings!$B$16:$B$45,0)),"Check category"))</f>
        <v/>
      </c>
      <c r="F621" s="76"/>
      <c r="G621" s="51"/>
      <c r="H621" s="51"/>
      <c r="I621" s="51"/>
      <c r="J621" s="51"/>
    </row>
    <row r="622" customFormat="false" ht="15" hidden="false" customHeight="false" outlineLevel="0" collapsed="false">
      <c r="A622" s="65"/>
      <c r="B622" s="51"/>
      <c r="C622" s="51"/>
      <c r="D622" s="51"/>
      <c r="E622" s="60" t="str">
        <f aca="false">IF(D622="","",IFERROR(INDEX(Settings!$C$16:$C$45,MATCH(D622,Settings!$B$16:$B$45,0)),"Check category"))</f>
        <v/>
      </c>
      <c r="F622" s="76"/>
      <c r="G622" s="51"/>
      <c r="H622" s="51"/>
      <c r="I622" s="51"/>
      <c r="J622" s="51"/>
    </row>
    <row r="623" customFormat="false" ht="15" hidden="false" customHeight="false" outlineLevel="0" collapsed="false">
      <c r="A623" s="65"/>
      <c r="B623" s="51"/>
      <c r="C623" s="51"/>
      <c r="D623" s="51"/>
      <c r="E623" s="60" t="str">
        <f aca="false">IF(D623="","",IFERROR(INDEX(Settings!$C$16:$C$45,MATCH(D623,Settings!$B$16:$B$45,0)),"Check category"))</f>
        <v/>
      </c>
      <c r="F623" s="76"/>
      <c r="G623" s="51"/>
      <c r="H623" s="51"/>
      <c r="I623" s="51"/>
      <c r="J623" s="51"/>
    </row>
    <row r="624" customFormat="false" ht="15" hidden="false" customHeight="false" outlineLevel="0" collapsed="false">
      <c r="A624" s="65"/>
      <c r="B624" s="51"/>
      <c r="C624" s="51"/>
      <c r="D624" s="51"/>
      <c r="E624" s="60" t="str">
        <f aca="false">IF(D624="","",IFERROR(INDEX(Settings!$C$16:$C$45,MATCH(D624,Settings!$B$16:$B$45,0)),"Check category"))</f>
        <v/>
      </c>
      <c r="F624" s="76"/>
      <c r="G624" s="51"/>
      <c r="H624" s="51"/>
      <c r="I624" s="51"/>
      <c r="J624" s="51"/>
    </row>
    <row r="625" customFormat="false" ht="15" hidden="false" customHeight="false" outlineLevel="0" collapsed="false">
      <c r="A625" s="65"/>
      <c r="B625" s="51"/>
      <c r="C625" s="51"/>
      <c r="D625" s="51"/>
      <c r="E625" s="60" t="str">
        <f aca="false">IF(D625="","",IFERROR(INDEX(Settings!$C$16:$C$45,MATCH(D625,Settings!$B$16:$B$45,0)),"Check category"))</f>
        <v/>
      </c>
      <c r="F625" s="76"/>
      <c r="G625" s="51"/>
      <c r="H625" s="51"/>
      <c r="I625" s="51"/>
      <c r="J625" s="51"/>
    </row>
    <row r="626" customFormat="false" ht="15" hidden="false" customHeight="false" outlineLevel="0" collapsed="false">
      <c r="A626" s="65"/>
      <c r="B626" s="51"/>
      <c r="C626" s="51"/>
      <c r="D626" s="51"/>
      <c r="E626" s="60" t="str">
        <f aca="false">IF(D626="","",IFERROR(INDEX(Settings!$C$16:$C$45,MATCH(D626,Settings!$B$16:$B$45,0)),"Check category"))</f>
        <v/>
      </c>
      <c r="F626" s="76"/>
      <c r="G626" s="51"/>
      <c r="H626" s="51"/>
      <c r="I626" s="51"/>
      <c r="J626" s="51"/>
    </row>
    <row r="627" customFormat="false" ht="15" hidden="false" customHeight="false" outlineLevel="0" collapsed="false">
      <c r="A627" s="65"/>
      <c r="B627" s="51"/>
      <c r="C627" s="51"/>
      <c r="D627" s="51"/>
      <c r="E627" s="60" t="str">
        <f aca="false">IF(D627="","",IFERROR(INDEX(Settings!$C$16:$C$45,MATCH(D627,Settings!$B$16:$B$45,0)),"Check category"))</f>
        <v/>
      </c>
      <c r="F627" s="76"/>
      <c r="G627" s="51"/>
      <c r="H627" s="51"/>
      <c r="I627" s="51"/>
      <c r="J627" s="51"/>
    </row>
    <row r="628" customFormat="false" ht="15" hidden="false" customHeight="false" outlineLevel="0" collapsed="false">
      <c r="A628" s="65"/>
      <c r="B628" s="51"/>
      <c r="C628" s="51"/>
      <c r="D628" s="51"/>
      <c r="E628" s="60" t="str">
        <f aca="false">IF(D628="","",IFERROR(INDEX(Settings!$C$16:$C$45,MATCH(D628,Settings!$B$16:$B$45,0)),"Check category"))</f>
        <v/>
      </c>
      <c r="F628" s="76"/>
      <c r="G628" s="51"/>
      <c r="H628" s="51"/>
      <c r="I628" s="51"/>
      <c r="J628" s="51"/>
    </row>
    <row r="629" customFormat="false" ht="15" hidden="false" customHeight="false" outlineLevel="0" collapsed="false">
      <c r="A629" s="65"/>
      <c r="B629" s="51"/>
      <c r="C629" s="51"/>
      <c r="D629" s="51"/>
      <c r="E629" s="60" t="str">
        <f aca="false">IF(D629="","",IFERROR(INDEX(Settings!$C$16:$C$45,MATCH(D629,Settings!$B$16:$B$45,0)),"Check category"))</f>
        <v/>
      </c>
      <c r="F629" s="76"/>
      <c r="G629" s="51"/>
      <c r="H629" s="51"/>
      <c r="I629" s="51"/>
      <c r="J629" s="51"/>
    </row>
    <row r="630" customFormat="false" ht="15" hidden="false" customHeight="false" outlineLevel="0" collapsed="false">
      <c r="A630" s="65"/>
      <c r="B630" s="51"/>
      <c r="C630" s="51"/>
      <c r="D630" s="51"/>
      <c r="E630" s="60" t="str">
        <f aca="false">IF(D630="","",IFERROR(INDEX(Settings!$C$16:$C$45,MATCH(D630,Settings!$B$16:$B$45,0)),"Check category"))</f>
        <v/>
      </c>
      <c r="F630" s="76"/>
      <c r="G630" s="51"/>
      <c r="H630" s="51"/>
      <c r="I630" s="51"/>
      <c r="J630" s="51"/>
    </row>
    <row r="631" customFormat="false" ht="15" hidden="false" customHeight="false" outlineLevel="0" collapsed="false">
      <c r="A631" s="65"/>
      <c r="B631" s="51"/>
      <c r="C631" s="51"/>
      <c r="D631" s="51"/>
      <c r="E631" s="60" t="str">
        <f aca="false">IF(D631="","",IFERROR(INDEX(Settings!$C$16:$C$45,MATCH(D631,Settings!$B$16:$B$45,0)),"Check category"))</f>
        <v/>
      </c>
      <c r="F631" s="76"/>
      <c r="G631" s="51"/>
      <c r="H631" s="51"/>
      <c r="I631" s="51"/>
      <c r="J631" s="51"/>
    </row>
    <row r="632" customFormat="false" ht="15" hidden="false" customHeight="false" outlineLevel="0" collapsed="false">
      <c r="A632" s="65"/>
      <c r="B632" s="51"/>
      <c r="C632" s="51"/>
      <c r="D632" s="51"/>
      <c r="E632" s="60" t="str">
        <f aca="false">IF(D632="","",IFERROR(INDEX(Settings!$C$16:$C$45,MATCH(D632,Settings!$B$16:$B$45,0)),"Check category"))</f>
        <v/>
      </c>
      <c r="F632" s="76"/>
      <c r="G632" s="51"/>
      <c r="H632" s="51"/>
      <c r="I632" s="51"/>
      <c r="J632" s="51"/>
    </row>
    <row r="633" customFormat="false" ht="15" hidden="false" customHeight="false" outlineLevel="0" collapsed="false">
      <c r="A633" s="65"/>
      <c r="B633" s="51"/>
      <c r="C633" s="51"/>
      <c r="D633" s="51"/>
      <c r="E633" s="60" t="str">
        <f aca="false">IF(D633="","",IFERROR(INDEX(Settings!$C$16:$C$45,MATCH(D633,Settings!$B$16:$B$45,0)),"Check category"))</f>
        <v/>
      </c>
      <c r="F633" s="76"/>
      <c r="G633" s="51"/>
      <c r="H633" s="51"/>
      <c r="I633" s="51"/>
      <c r="J633" s="51"/>
    </row>
    <row r="634" customFormat="false" ht="15" hidden="false" customHeight="false" outlineLevel="0" collapsed="false">
      <c r="A634" s="65"/>
      <c r="B634" s="51"/>
      <c r="C634" s="51"/>
      <c r="D634" s="51"/>
      <c r="E634" s="60" t="str">
        <f aca="false">IF(D634="","",IFERROR(INDEX(Settings!$C$16:$C$45,MATCH(D634,Settings!$B$16:$B$45,0)),"Check category"))</f>
        <v/>
      </c>
      <c r="F634" s="76"/>
      <c r="G634" s="51"/>
      <c r="H634" s="51"/>
      <c r="I634" s="51"/>
      <c r="J634" s="51"/>
    </row>
    <row r="635" customFormat="false" ht="15" hidden="false" customHeight="false" outlineLevel="0" collapsed="false">
      <c r="A635" s="65"/>
      <c r="B635" s="51"/>
      <c r="C635" s="51"/>
      <c r="D635" s="51"/>
      <c r="E635" s="60" t="str">
        <f aca="false">IF(D635="","",IFERROR(INDEX(Settings!$C$16:$C$45,MATCH(D635,Settings!$B$16:$B$45,0)),"Check category"))</f>
        <v/>
      </c>
      <c r="F635" s="76"/>
      <c r="G635" s="51"/>
      <c r="H635" s="51"/>
      <c r="I635" s="51"/>
      <c r="J635" s="51"/>
    </row>
    <row r="636" customFormat="false" ht="15" hidden="false" customHeight="false" outlineLevel="0" collapsed="false">
      <c r="A636" s="65"/>
      <c r="B636" s="51"/>
      <c r="C636" s="51"/>
      <c r="D636" s="51"/>
      <c r="E636" s="60" t="str">
        <f aca="false">IF(D636="","",IFERROR(INDEX(Settings!$C$16:$C$45,MATCH(D636,Settings!$B$16:$B$45,0)),"Check category"))</f>
        <v/>
      </c>
      <c r="F636" s="76"/>
      <c r="G636" s="51"/>
      <c r="H636" s="51"/>
      <c r="I636" s="51"/>
      <c r="J636" s="51"/>
    </row>
    <row r="637" customFormat="false" ht="15" hidden="false" customHeight="false" outlineLevel="0" collapsed="false">
      <c r="A637" s="65"/>
      <c r="B637" s="51"/>
      <c r="C637" s="51"/>
      <c r="D637" s="51"/>
      <c r="E637" s="60" t="str">
        <f aca="false">IF(D637="","",IFERROR(INDEX(Settings!$C$16:$C$45,MATCH(D637,Settings!$B$16:$B$45,0)),"Check category"))</f>
        <v/>
      </c>
      <c r="F637" s="76"/>
      <c r="G637" s="51"/>
      <c r="H637" s="51"/>
      <c r="I637" s="51"/>
      <c r="J637" s="51"/>
    </row>
    <row r="638" customFormat="false" ht="15" hidden="false" customHeight="false" outlineLevel="0" collapsed="false">
      <c r="A638" s="65"/>
      <c r="B638" s="51"/>
      <c r="C638" s="51"/>
      <c r="D638" s="51"/>
      <c r="E638" s="60" t="str">
        <f aca="false">IF(D638="","",IFERROR(INDEX(Settings!$C$16:$C$45,MATCH(D638,Settings!$B$16:$B$45,0)),"Check category"))</f>
        <v/>
      </c>
      <c r="F638" s="76"/>
      <c r="G638" s="51"/>
      <c r="H638" s="51"/>
      <c r="I638" s="51"/>
      <c r="J638" s="51"/>
    </row>
    <row r="639" customFormat="false" ht="15" hidden="false" customHeight="false" outlineLevel="0" collapsed="false">
      <c r="A639" s="65"/>
      <c r="B639" s="51"/>
      <c r="C639" s="51"/>
      <c r="D639" s="51"/>
      <c r="E639" s="60" t="str">
        <f aca="false">IF(D639="","",IFERROR(INDEX(Settings!$C$16:$C$45,MATCH(D639,Settings!$B$16:$B$45,0)),"Check category"))</f>
        <v/>
      </c>
      <c r="F639" s="76"/>
      <c r="G639" s="51"/>
      <c r="H639" s="51"/>
      <c r="I639" s="51"/>
      <c r="J639" s="51"/>
    </row>
    <row r="640" customFormat="false" ht="15" hidden="false" customHeight="false" outlineLevel="0" collapsed="false">
      <c r="A640" s="65"/>
      <c r="B640" s="51"/>
      <c r="C640" s="51"/>
      <c r="D640" s="51"/>
      <c r="E640" s="60" t="str">
        <f aca="false">IF(D640="","",IFERROR(INDEX(Settings!$C$16:$C$45,MATCH(D640,Settings!$B$16:$B$45,0)),"Check category"))</f>
        <v/>
      </c>
      <c r="F640" s="76"/>
      <c r="G640" s="51"/>
      <c r="H640" s="51"/>
      <c r="I640" s="51"/>
      <c r="J640" s="51"/>
    </row>
    <row r="641" customFormat="false" ht="15" hidden="false" customHeight="false" outlineLevel="0" collapsed="false">
      <c r="A641" s="65"/>
      <c r="B641" s="51"/>
      <c r="C641" s="51"/>
      <c r="D641" s="51"/>
      <c r="E641" s="60" t="str">
        <f aca="false">IF(D641="","",IFERROR(INDEX(Settings!$C$16:$C$45,MATCH(D641,Settings!$B$16:$B$45,0)),"Check category"))</f>
        <v/>
      </c>
      <c r="F641" s="76"/>
      <c r="G641" s="51"/>
      <c r="H641" s="51"/>
      <c r="I641" s="51"/>
      <c r="J641" s="51"/>
    </row>
    <row r="642" customFormat="false" ht="15" hidden="false" customHeight="false" outlineLevel="0" collapsed="false">
      <c r="A642" s="65"/>
      <c r="B642" s="51"/>
      <c r="C642" s="51"/>
      <c r="D642" s="51"/>
      <c r="E642" s="60" t="str">
        <f aca="false">IF(D642="","",IFERROR(INDEX(Settings!$C$16:$C$45,MATCH(D642,Settings!$B$16:$B$45,0)),"Check category"))</f>
        <v/>
      </c>
      <c r="F642" s="76"/>
      <c r="G642" s="51"/>
      <c r="H642" s="51"/>
      <c r="I642" s="51"/>
      <c r="J642" s="51"/>
    </row>
    <row r="643" customFormat="false" ht="15" hidden="false" customHeight="false" outlineLevel="0" collapsed="false">
      <c r="A643" s="65"/>
      <c r="B643" s="51"/>
      <c r="C643" s="51"/>
      <c r="D643" s="51"/>
      <c r="E643" s="60" t="str">
        <f aca="false">IF(D643="","",IFERROR(INDEX(Settings!$C$16:$C$45,MATCH(D643,Settings!$B$16:$B$45,0)),"Check category"))</f>
        <v/>
      </c>
      <c r="F643" s="76"/>
      <c r="G643" s="51"/>
      <c r="H643" s="51"/>
      <c r="I643" s="51"/>
      <c r="J643" s="51"/>
    </row>
    <row r="644" customFormat="false" ht="15" hidden="false" customHeight="false" outlineLevel="0" collapsed="false">
      <c r="A644" s="65"/>
      <c r="B644" s="51"/>
      <c r="C644" s="51"/>
      <c r="D644" s="51"/>
      <c r="E644" s="60" t="str">
        <f aca="false">IF(D644="","",IFERROR(INDEX(Settings!$C$16:$C$45,MATCH(D644,Settings!$B$16:$B$45,0)),"Check category"))</f>
        <v/>
      </c>
      <c r="F644" s="76"/>
      <c r="G644" s="51"/>
      <c r="H644" s="51"/>
      <c r="I644" s="51"/>
      <c r="J644" s="51"/>
    </row>
    <row r="645" customFormat="false" ht="15" hidden="false" customHeight="false" outlineLevel="0" collapsed="false">
      <c r="A645" s="65"/>
      <c r="B645" s="51"/>
      <c r="C645" s="51"/>
      <c r="D645" s="51"/>
      <c r="E645" s="60" t="str">
        <f aca="false">IF(D645="","",IFERROR(INDEX(Settings!$C$16:$C$45,MATCH(D645,Settings!$B$16:$B$45,0)),"Check category"))</f>
        <v/>
      </c>
      <c r="F645" s="76"/>
      <c r="G645" s="51"/>
      <c r="H645" s="51"/>
      <c r="I645" s="51"/>
      <c r="J645" s="51"/>
    </row>
    <row r="646" customFormat="false" ht="15" hidden="false" customHeight="false" outlineLevel="0" collapsed="false">
      <c r="A646" s="65"/>
      <c r="B646" s="51"/>
      <c r="C646" s="51"/>
      <c r="D646" s="51"/>
      <c r="E646" s="60" t="str">
        <f aca="false">IF(D646="","",IFERROR(INDEX(Settings!$C$16:$C$45,MATCH(D646,Settings!$B$16:$B$45,0)),"Check category"))</f>
        <v/>
      </c>
      <c r="F646" s="76"/>
      <c r="G646" s="51"/>
      <c r="H646" s="51"/>
      <c r="I646" s="51"/>
      <c r="J646" s="51"/>
    </row>
    <row r="647" customFormat="false" ht="15" hidden="false" customHeight="false" outlineLevel="0" collapsed="false">
      <c r="A647" s="65"/>
      <c r="B647" s="51"/>
      <c r="C647" s="51"/>
      <c r="D647" s="51"/>
      <c r="E647" s="60" t="str">
        <f aca="false">IF(D647="","",IFERROR(INDEX(Settings!$C$16:$C$45,MATCH(D647,Settings!$B$16:$B$45,0)),"Check category"))</f>
        <v/>
      </c>
      <c r="F647" s="76"/>
      <c r="G647" s="51"/>
      <c r="H647" s="51"/>
      <c r="I647" s="51"/>
      <c r="J647" s="51"/>
    </row>
    <row r="648" customFormat="false" ht="15" hidden="false" customHeight="false" outlineLevel="0" collapsed="false">
      <c r="A648" s="65"/>
      <c r="B648" s="51"/>
      <c r="C648" s="51"/>
      <c r="D648" s="51"/>
      <c r="E648" s="60" t="str">
        <f aca="false">IF(D648="","",IFERROR(INDEX(Settings!$C$16:$C$45,MATCH(D648,Settings!$B$16:$B$45,0)),"Check category"))</f>
        <v/>
      </c>
      <c r="F648" s="76"/>
      <c r="G648" s="51"/>
      <c r="H648" s="51"/>
      <c r="I648" s="51"/>
      <c r="J648" s="51"/>
    </row>
    <row r="649" customFormat="false" ht="15" hidden="false" customHeight="false" outlineLevel="0" collapsed="false">
      <c r="A649" s="65"/>
      <c r="B649" s="51"/>
      <c r="C649" s="51"/>
      <c r="D649" s="51"/>
      <c r="E649" s="60" t="str">
        <f aca="false">IF(D649="","",IFERROR(INDEX(Settings!$C$16:$C$45,MATCH(D649,Settings!$B$16:$B$45,0)),"Check category"))</f>
        <v/>
      </c>
      <c r="F649" s="76"/>
      <c r="G649" s="51"/>
      <c r="H649" s="51"/>
      <c r="I649" s="51"/>
      <c r="J649" s="51"/>
    </row>
    <row r="650" customFormat="false" ht="15" hidden="false" customHeight="false" outlineLevel="0" collapsed="false">
      <c r="A650" s="65"/>
      <c r="B650" s="51"/>
      <c r="C650" s="51"/>
      <c r="D650" s="51"/>
      <c r="E650" s="60" t="str">
        <f aca="false">IF(D650="","",IFERROR(INDEX(Settings!$C$16:$C$45,MATCH(D650,Settings!$B$16:$B$45,0)),"Check category"))</f>
        <v/>
      </c>
      <c r="F650" s="76"/>
      <c r="G650" s="51"/>
      <c r="H650" s="51"/>
      <c r="I650" s="51"/>
      <c r="J650" s="51"/>
    </row>
    <row r="651" customFormat="false" ht="15" hidden="false" customHeight="false" outlineLevel="0" collapsed="false">
      <c r="A651" s="65"/>
      <c r="B651" s="51"/>
      <c r="C651" s="51"/>
      <c r="D651" s="51"/>
      <c r="E651" s="60" t="str">
        <f aca="false">IF(D651="","",IFERROR(INDEX(Settings!$C$16:$C$45,MATCH(D651,Settings!$B$16:$B$45,0)),"Check category"))</f>
        <v/>
      </c>
      <c r="F651" s="76"/>
      <c r="G651" s="51"/>
      <c r="H651" s="51"/>
      <c r="I651" s="51"/>
      <c r="J651" s="51"/>
    </row>
    <row r="652" customFormat="false" ht="15" hidden="false" customHeight="false" outlineLevel="0" collapsed="false">
      <c r="A652" s="65"/>
      <c r="B652" s="51"/>
      <c r="C652" s="51"/>
      <c r="D652" s="51"/>
      <c r="E652" s="60" t="str">
        <f aca="false">IF(D652="","",IFERROR(INDEX(Settings!$C$16:$C$45,MATCH(D652,Settings!$B$16:$B$45,0)),"Check category"))</f>
        <v/>
      </c>
      <c r="F652" s="76"/>
      <c r="G652" s="51"/>
      <c r="H652" s="51"/>
      <c r="I652" s="51"/>
      <c r="J652" s="51"/>
    </row>
    <row r="653" customFormat="false" ht="15" hidden="false" customHeight="false" outlineLevel="0" collapsed="false">
      <c r="A653" s="65"/>
      <c r="B653" s="51"/>
      <c r="C653" s="51"/>
      <c r="D653" s="51"/>
      <c r="E653" s="60" t="str">
        <f aca="false">IF(D653="","",IFERROR(INDEX(Settings!$C$16:$C$45,MATCH(D653,Settings!$B$16:$B$45,0)),"Check category"))</f>
        <v/>
      </c>
      <c r="F653" s="76"/>
      <c r="G653" s="51"/>
      <c r="H653" s="51"/>
      <c r="I653" s="51"/>
      <c r="J653" s="51"/>
    </row>
    <row r="654" customFormat="false" ht="15" hidden="false" customHeight="false" outlineLevel="0" collapsed="false">
      <c r="A654" s="65"/>
      <c r="B654" s="51"/>
      <c r="C654" s="51"/>
      <c r="D654" s="51"/>
      <c r="E654" s="60" t="str">
        <f aca="false">IF(D654="","",IFERROR(INDEX(Settings!$C$16:$C$45,MATCH(D654,Settings!$B$16:$B$45,0)),"Check category"))</f>
        <v/>
      </c>
      <c r="F654" s="76"/>
      <c r="G654" s="51"/>
      <c r="H654" s="51"/>
      <c r="I654" s="51"/>
      <c r="J654" s="51"/>
    </row>
    <row r="655" customFormat="false" ht="15" hidden="false" customHeight="false" outlineLevel="0" collapsed="false">
      <c r="A655" s="65"/>
      <c r="B655" s="51"/>
      <c r="C655" s="51"/>
      <c r="D655" s="51"/>
      <c r="E655" s="60" t="str">
        <f aca="false">IF(D655="","",IFERROR(INDEX(Settings!$C$16:$C$45,MATCH(D655,Settings!$B$16:$B$45,0)),"Check category"))</f>
        <v/>
      </c>
      <c r="F655" s="76"/>
      <c r="G655" s="51"/>
      <c r="H655" s="51"/>
      <c r="I655" s="51"/>
      <c r="J655" s="51"/>
    </row>
    <row r="656" customFormat="false" ht="15" hidden="false" customHeight="false" outlineLevel="0" collapsed="false">
      <c r="A656" s="65"/>
      <c r="B656" s="51"/>
      <c r="C656" s="51"/>
      <c r="D656" s="51"/>
      <c r="E656" s="60" t="str">
        <f aca="false">IF(D656="","",IFERROR(INDEX(Settings!$C$16:$C$45,MATCH(D656,Settings!$B$16:$B$45,0)),"Check category"))</f>
        <v/>
      </c>
      <c r="F656" s="76"/>
      <c r="G656" s="51"/>
      <c r="H656" s="51"/>
      <c r="I656" s="51"/>
      <c r="J656" s="51"/>
    </row>
    <row r="657" customFormat="false" ht="15" hidden="false" customHeight="false" outlineLevel="0" collapsed="false">
      <c r="A657" s="65"/>
      <c r="B657" s="51"/>
      <c r="C657" s="51"/>
      <c r="D657" s="51"/>
      <c r="E657" s="60" t="str">
        <f aca="false">IF(D657="","",IFERROR(INDEX(Settings!$C$16:$C$45,MATCH(D657,Settings!$B$16:$B$45,0)),"Check category"))</f>
        <v/>
      </c>
      <c r="F657" s="76"/>
      <c r="G657" s="51"/>
      <c r="H657" s="51"/>
      <c r="I657" s="51"/>
      <c r="J657" s="51"/>
    </row>
    <row r="658" customFormat="false" ht="15" hidden="false" customHeight="false" outlineLevel="0" collapsed="false">
      <c r="A658" s="65"/>
      <c r="B658" s="51"/>
      <c r="C658" s="51"/>
      <c r="D658" s="51"/>
      <c r="E658" s="60" t="str">
        <f aca="false">IF(D658="","",IFERROR(INDEX(Settings!$C$16:$C$45,MATCH(D658,Settings!$B$16:$B$45,0)),"Check category"))</f>
        <v/>
      </c>
      <c r="F658" s="76"/>
      <c r="G658" s="51"/>
      <c r="H658" s="51"/>
      <c r="I658" s="51"/>
      <c r="J658" s="51"/>
    </row>
    <row r="659" customFormat="false" ht="15" hidden="false" customHeight="false" outlineLevel="0" collapsed="false">
      <c r="A659" s="65"/>
      <c r="B659" s="51"/>
      <c r="C659" s="51"/>
      <c r="D659" s="51"/>
      <c r="E659" s="60" t="str">
        <f aca="false">IF(D659="","",IFERROR(INDEX(Settings!$C$16:$C$45,MATCH(D659,Settings!$B$16:$B$45,0)),"Check category"))</f>
        <v/>
      </c>
      <c r="F659" s="76"/>
      <c r="G659" s="51"/>
      <c r="H659" s="51"/>
      <c r="I659" s="51"/>
      <c r="J659" s="51"/>
    </row>
    <row r="660" customFormat="false" ht="15" hidden="false" customHeight="false" outlineLevel="0" collapsed="false">
      <c r="A660" s="65"/>
      <c r="B660" s="51"/>
      <c r="C660" s="51"/>
      <c r="D660" s="51"/>
      <c r="E660" s="60" t="str">
        <f aca="false">IF(D660="","",IFERROR(INDEX(Settings!$C$16:$C$45,MATCH(D660,Settings!$B$16:$B$45,0)),"Check category"))</f>
        <v/>
      </c>
      <c r="F660" s="76"/>
      <c r="G660" s="51"/>
      <c r="H660" s="51"/>
      <c r="I660" s="51"/>
      <c r="J660" s="51"/>
    </row>
    <row r="661" customFormat="false" ht="15" hidden="false" customHeight="false" outlineLevel="0" collapsed="false">
      <c r="A661" s="65"/>
      <c r="B661" s="51"/>
      <c r="C661" s="51"/>
      <c r="D661" s="51"/>
      <c r="E661" s="60" t="str">
        <f aca="false">IF(D661="","",IFERROR(INDEX(Settings!$C$16:$C$45,MATCH(D661,Settings!$B$16:$B$45,0)),"Check category"))</f>
        <v/>
      </c>
      <c r="F661" s="76"/>
      <c r="G661" s="51"/>
      <c r="H661" s="51"/>
      <c r="I661" s="51"/>
      <c r="J661" s="51"/>
    </row>
    <row r="662" customFormat="false" ht="15" hidden="false" customHeight="false" outlineLevel="0" collapsed="false">
      <c r="A662" s="65"/>
      <c r="B662" s="51"/>
      <c r="C662" s="51"/>
      <c r="D662" s="51"/>
      <c r="E662" s="60" t="str">
        <f aca="false">IF(D662="","",IFERROR(INDEX(Settings!$C$16:$C$45,MATCH(D662,Settings!$B$16:$B$45,0)),"Check category"))</f>
        <v/>
      </c>
      <c r="F662" s="76"/>
      <c r="G662" s="51"/>
      <c r="H662" s="51"/>
      <c r="I662" s="51"/>
      <c r="J662" s="51"/>
    </row>
    <row r="663" customFormat="false" ht="15" hidden="false" customHeight="false" outlineLevel="0" collapsed="false">
      <c r="A663" s="65"/>
      <c r="B663" s="51"/>
      <c r="C663" s="51"/>
      <c r="D663" s="51"/>
      <c r="E663" s="60" t="str">
        <f aca="false">IF(D663="","",IFERROR(INDEX(Settings!$C$16:$C$45,MATCH(D663,Settings!$B$16:$B$45,0)),"Check category"))</f>
        <v/>
      </c>
      <c r="F663" s="76"/>
      <c r="G663" s="51"/>
      <c r="H663" s="51"/>
      <c r="I663" s="51"/>
      <c r="J663" s="51"/>
    </row>
    <row r="664" customFormat="false" ht="15" hidden="false" customHeight="false" outlineLevel="0" collapsed="false">
      <c r="A664" s="65"/>
      <c r="B664" s="51"/>
      <c r="C664" s="51"/>
      <c r="D664" s="51"/>
      <c r="E664" s="60" t="str">
        <f aca="false">IF(D664="","",IFERROR(INDEX(Settings!$C$16:$C$45,MATCH(D664,Settings!$B$16:$B$45,0)),"Check category"))</f>
        <v/>
      </c>
      <c r="F664" s="76"/>
      <c r="G664" s="51"/>
      <c r="H664" s="51"/>
      <c r="I664" s="51"/>
      <c r="J664" s="51"/>
    </row>
    <row r="665" customFormat="false" ht="15" hidden="false" customHeight="false" outlineLevel="0" collapsed="false">
      <c r="A665" s="65"/>
      <c r="B665" s="51"/>
      <c r="C665" s="51"/>
      <c r="D665" s="51"/>
      <c r="E665" s="60" t="str">
        <f aca="false">IF(D665="","",IFERROR(INDEX(Settings!$C$16:$C$45,MATCH(D665,Settings!$B$16:$B$45,0)),"Check category"))</f>
        <v/>
      </c>
      <c r="F665" s="76"/>
      <c r="G665" s="51"/>
      <c r="H665" s="51"/>
      <c r="I665" s="51"/>
      <c r="J665" s="51"/>
    </row>
    <row r="666" customFormat="false" ht="15" hidden="false" customHeight="false" outlineLevel="0" collapsed="false">
      <c r="A666" s="65"/>
      <c r="B666" s="51"/>
      <c r="C666" s="51"/>
      <c r="D666" s="51"/>
      <c r="E666" s="60" t="str">
        <f aca="false">IF(D666="","",IFERROR(INDEX(Settings!$C$16:$C$45,MATCH(D666,Settings!$B$16:$B$45,0)),"Check category"))</f>
        <v/>
      </c>
      <c r="F666" s="76"/>
      <c r="G666" s="51"/>
      <c r="H666" s="51"/>
      <c r="I666" s="51"/>
      <c r="J666" s="51"/>
    </row>
    <row r="667" customFormat="false" ht="15" hidden="false" customHeight="false" outlineLevel="0" collapsed="false">
      <c r="A667" s="65"/>
      <c r="B667" s="51"/>
      <c r="C667" s="51"/>
      <c r="D667" s="51"/>
      <c r="E667" s="60" t="str">
        <f aca="false">IF(D667="","",IFERROR(INDEX(Settings!$C$16:$C$45,MATCH(D667,Settings!$B$16:$B$45,0)),"Check category"))</f>
        <v/>
      </c>
      <c r="F667" s="76"/>
      <c r="G667" s="51"/>
      <c r="H667" s="51"/>
      <c r="I667" s="51"/>
      <c r="J667" s="51"/>
    </row>
    <row r="668" customFormat="false" ht="15" hidden="false" customHeight="false" outlineLevel="0" collapsed="false">
      <c r="A668" s="65"/>
      <c r="B668" s="51"/>
      <c r="C668" s="51"/>
      <c r="D668" s="51"/>
      <c r="E668" s="60" t="str">
        <f aca="false">IF(D668="","",IFERROR(INDEX(Settings!$C$16:$C$45,MATCH(D668,Settings!$B$16:$B$45,0)),"Check category"))</f>
        <v/>
      </c>
      <c r="F668" s="76"/>
      <c r="G668" s="51"/>
      <c r="H668" s="51"/>
      <c r="I668" s="51"/>
      <c r="J668" s="51"/>
    </row>
    <row r="669" customFormat="false" ht="15" hidden="false" customHeight="false" outlineLevel="0" collapsed="false">
      <c r="A669" s="65"/>
      <c r="B669" s="51"/>
      <c r="C669" s="51"/>
      <c r="D669" s="51"/>
      <c r="E669" s="60" t="str">
        <f aca="false">IF(D669="","",IFERROR(INDEX(Settings!$C$16:$C$45,MATCH(D669,Settings!$B$16:$B$45,0)),"Check category"))</f>
        <v/>
      </c>
      <c r="F669" s="76"/>
      <c r="G669" s="51"/>
      <c r="H669" s="51"/>
      <c r="I669" s="51"/>
      <c r="J669" s="51"/>
    </row>
    <row r="670" customFormat="false" ht="15" hidden="false" customHeight="false" outlineLevel="0" collapsed="false">
      <c r="A670" s="65"/>
      <c r="B670" s="51"/>
      <c r="C670" s="51"/>
      <c r="D670" s="51"/>
      <c r="E670" s="60" t="str">
        <f aca="false">IF(D670="","",IFERROR(INDEX(Settings!$C$16:$C$45,MATCH(D670,Settings!$B$16:$B$45,0)),"Check category"))</f>
        <v/>
      </c>
      <c r="F670" s="76"/>
      <c r="G670" s="51"/>
      <c r="H670" s="51"/>
      <c r="I670" s="51"/>
      <c r="J670" s="51"/>
    </row>
    <row r="671" customFormat="false" ht="15" hidden="false" customHeight="false" outlineLevel="0" collapsed="false">
      <c r="A671" s="65"/>
      <c r="B671" s="51"/>
      <c r="C671" s="51"/>
      <c r="D671" s="51"/>
      <c r="E671" s="60" t="str">
        <f aca="false">IF(D671="","",IFERROR(INDEX(Settings!$C$16:$C$45,MATCH(D671,Settings!$B$16:$B$45,0)),"Check category"))</f>
        <v/>
      </c>
      <c r="F671" s="76"/>
      <c r="G671" s="51"/>
      <c r="H671" s="51"/>
      <c r="I671" s="51"/>
      <c r="J671" s="51"/>
    </row>
    <row r="672" customFormat="false" ht="15" hidden="false" customHeight="false" outlineLevel="0" collapsed="false">
      <c r="A672" s="65"/>
      <c r="B672" s="51"/>
      <c r="C672" s="51"/>
      <c r="D672" s="51"/>
      <c r="E672" s="60" t="str">
        <f aca="false">IF(D672="","",IFERROR(INDEX(Settings!$C$16:$C$45,MATCH(D672,Settings!$B$16:$B$45,0)),"Check category"))</f>
        <v/>
      </c>
      <c r="F672" s="76"/>
      <c r="G672" s="51"/>
      <c r="H672" s="51"/>
      <c r="I672" s="51"/>
      <c r="J672" s="51"/>
    </row>
    <row r="673" customFormat="false" ht="15" hidden="false" customHeight="false" outlineLevel="0" collapsed="false">
      <c r="A673" s="65"/>
      <c r="B673" s="51"/>
      <c r="C673" s="51"/>
      <c r="D673" s="51"/>
      <c r="E673" s="60" t="str">
        <f aca="false">IF(D673="","",IFERROR(INDEX(Settings!$C$16:$C$45,MATCH(D673,Settings!$B$16:$B$45,0)),"Check category"))</f>
        <v/>
      </c>
      <c r="F673" s="76"/>
      <c r="G673" s="51"/>
      <c r="H673" s="51"/>
      <c r="I673" s="51"/>
      <c r="J673" s="51"/>
    </row>
    <row r="674" customFormat="false" ht="15" hidden="false" customHeight="false" outlineLevel="0" collapsed="false">
      <c r="A674" s="65"/>
      <c r="B674" s="51"/>
      <c r="C674" s="51"/>
      <c r="D674" s="51"/>
      <c r="E674" s="60" t="str">
        <f aca="false">IF(D674="","",IFERROR(INDEX(Settings!$C$16:$C$45,MATCH(D674,Settings!$B$16:$B$45,0)),"Check category"))</f>
        <v/>
      </c>
      <c r="F674" s="76"/>
      <c r="G674" s="51"/>
      <c r="H674" s="51"/>
      <c r="I674" s="51"/>
      <c r="J674" s="51"/>
    </row>
    <row r="675" customFormat="false" ht="15" hidden="false" customHeight="false" outlineLevel="0" collapsed="false">
      <c r="A675" s="65"/>
      <c r="B675" s="51"/>
      <c r="C675" s="51"/>
      <c r="D675" s="51"/>
      <c r="E675" s="60" t="str">
        <f aca="false">IF(D675="","",IFERROR(INDEX(Settings!$C$16:$C$45,MATCH(D675,Settings!$B$16:$B$45,0)),"Check category"))</f>
        <v/>
      </c>
      <c r="F675" s="76"/>
      <c r="G675" s="51"/>
      <c r="H675" s="51"/>
      <c r="I675" s="51"/>
      <c r="J675" s="51"/>
    </row>
    <row r="676" customFormat="false" ht="15" hidden="false" customHeight="false" outlineLevel="0" collapsed="false">
      <c r="A676" s="65"/>
      <c r="B676" s="51"/>
      <c r="C676" s="51"/>
      <c r="D676" s="51"/>
      <c r="E676" s="60" t="str">
        <f aca="false">IF(D676="","",IFERROR(INDEX(Settings!$C$16:$C$45,MATCH(D676,Settings!$B$16:$B$45,0)),"Check category"))</f>
        <v/>
      </c>
      <c r="F676" s="76"/>
      <c r="G676" s="51"/>
      <c r="H676" s="51"/>
      <c r="I676" s="51"/>
      <c r="J676" s="51"/>
    </row>
    <row r="677" customFormat="false" ht="15" hidden="false" customHeight="false" outlineLevel="0" collapsed="false">
      <c r="A677" s="65"/>
      <c r="B677" s="51"/>
      <c r="C677" s="51"/>
      <c r="D677" s="51"/>
      <c r="E677" s="60" t="str">
        <f aca="false">IF(D677="","",IFERROR(INDEX(Settings!$C$16:$C$45,MATCH(D677,Settings!$B$16:$B$45,0)),"Check category"))</f>
        <v/>
      </c>
      <c r="F677" s="76"/>
      <c r="G677" s="51"/>
      <c r="H677" s="51"/>
      <c r="I677" s="51"/>
      <c r="J677" s="51"/>
    </row>
    <row r="678" customFormat="false" ht="15" hidden="false" customHeight="false" outlineLevel="0" collapsed="false">
      <c r="A678" s="65"/>
      <c r="B678" s="51"/>
      <c r="C678" s="51"/>
      <c r="D678" s="51"/>
      <c r="E678" s="60" t="str">
        <f aca="false">IF(D678="","",IFERROR(INDEX(Settings!$C$16:$C$45,MATCH(D678,Settings!$B$16:$B$45,0)),"Check category"))</f>
        <v/>
      </c>
      <c r="F678" s="76"/>
      <c r="G678" s="51"/>
      <c r="H678" s="51"/>
      <c r="I678" s="51"/>
      <c r="J678" s="51"/>
    </row>
    <row r="679" customFormat="false" ht="15" hidden="false" customHeight="false" outlineLevel="0" collapsed="false">
      <c r="A679" s="65"/>
      <c r="B679" s="51"/>
      <c r="C679" s="51"/>
      <c r="D679" s="51"/>
      <c r="E679" s="60" t="str">
        <f aca="false">IF(D679="","",IFERROR(INDEX(Settings!$C$16:$C$45,MATCH(D679,Settings!$B$16:$B$45,0)),"Check category"))</f>
        <v/>
      </c>
      <c r="F679" s="76"/>
      <c r="G679" s="51"/>
      <c r="H679" s="51"/>
      <c r="I679" s="51"/>
      <c r="J679" s="51"/>
    </row>
    <row r="680" customFormat="false" ht="15" hidden="false" customHeight="false" outlineLevel="0" collapsed="false">
      <c r="A680" s="65"/>
      <c r="B680" s="51"/>
      <c r="C680" s="51"/>
      <c r="D680" s="51"/>
      <c r="E680" s="60" t="str">
        <f aca="false">IF(D680="","",IFERROR(INDEX(Settings!$C$16:$C$45,MATCH(D680,Settings!$B$16:$B$45,0)),"Check category"))</f>
        <v/>
      </c>
      <c r="F680" s="76"/>
      <c r="G680" s="51"/>
      <c r="H680" s="51"/>
      <c r="I680" s="51"/>
      <c r="J680" s="51"/>
    </row>
    <row r="681" customFormat="false" ht="15" hidden="false" customHeight="false" outlineLevel="0" collapsed="false">
      <c r="A681" s="65"/>
      <c r="B681" s="51"/>
      <c r="C681" s="51"/>
      <c r="D681" s="51"/>
      <c r="E681" s="60" t="str">
        <f aca="false">IF(D681="","",IFERROR(INDEX(Settings!$C$16:$C$45,MATCH(D681,Settings!$B$16:$B$45,0)),"Check category"))</f>
        <v/>
      </c>
      <c r="F681" s="76"/>
      <c r="G681" s="51"/>
      <c r="H681" s="51"/>
      <c r="I681" s="51"/>
      <c r="J681" s="51"/>
    </row>
    <row r="682" customFormat="false" ht="15" hidden="false" customHeight="false" outlineLevel="0" collapsed="false">
      <c r="A682" s="65"/>
      <c r="B682" s="51"/>
      <c r="C682" s="51"/>
      <c r="D682" s="51"/>
      <c r="E682" s="60" t="str">
        <f aca="false">IF(D682="","",IFERROR(INDEX(Settings!$C$16:$C$45,MATCH(D682,Settings!$B$16:$B$45,0)),"Check category"))</f>
        <v/>
      </c>
      <c r="F682" s="76"/>
      <c r="G682" s="51"/>
      <c r="H682" s="51"/>
      <c r="I682" s="51"/>
      <c r="J682" s="51"/>
    </row>
    <row r="683" customFormat="false" ht="15" hidden="false" customHeight="false" outlineLevel="0" collapsed="false">
      <c r="A683" s="65"/>
      <c r="B683" s="51"/>
      <c r="C683" s="51"/>
      <c r="D683" s="51"/>
      <c r="E683" s="60" t="str">
        <f aca="false">IF(D683="","",IFERROR(INDEX(Settings!$C$16:$C$45,MATCH(D683,Settings!$B$16:$B$45,0)),"Check category"))</f>
        <v/>
      </c>
      <c r="F683" s="76"/>
      <c r="G683" s="51"/>
      <c r="H683" s="51"/>
      <c r="I683" s="51"/>
      <c r="J683" s="51"/>
    </row>
    <row r="684" customFormat="false" ht="15" hidden="false" customHeight="false" outlineLevel="0" collapsed="false">
      <c r="A684" s="65"/>
      <c r="B684" s="51"/>
      <c r="C684" s="51"/>
      <c r="D684" s="51"/>
      <c r="E684" s="60" t="str">
        <f aca="false">IF(D684="","",IFERROR(INDEX(Settings!$C$16:$C$45,MATCH(D684,Settings!$B$16:$B$45,0)),"Check category"))</f>
        <v/>
      </c>
      <c r="F684" s="76"/>
      <c r="G684" s="51"/>
      <c r="H684" s="51"/>
      <c r="I684" s="51"/>
      <c r="J684" s="51"/>
    </row>
    <row r="685" customFormat="false" ht="15" hidden="false" customHeight="false" outlineLevel="0" collapsed="false">
      <c r="A685" s="65"/>
      <c r="B685" s="51"/>
      <c r="C685" s="51"/>
      <c r="D685" s="51"/>
      <c r="E685" s="60" t="str">
        <f aca="false">IF(D685="","",IFERROR(INDEX(Settings!$C$16:$C$45,MATCH(D685,Settings!$B$16:$B$45,0)),"Check category"))</f>
        <v/>
      </c>
      <c r="F685" s="76"/>
      <c r="G685" s="51"/>
      <c r="H685" s="51"/>
      <c r="I685" s="51"/>
      <c r="J685" s="51"/>
    </row>
    <row r="686" customFormat="false" ht="15" hidden="false" customHeight="false" outlineLevel="0" collapsed="false">
      <c r="A686" s="65"/>
      <c r="B686" s="51"/>
      <c r="C686" s="51"/>
      <c r="D686" s="51"/>
      <c r="E686" s="60" t="str">
        <f aca="false">IF(D686="","",IFERROR(INDEX(Settings!$C$16:$C$45,MATCH(D686,Settings!$B$16:$B$45,0)),"Check category"))</f>
        <v/>
      </c>
      <c r="F686" s="76"/>
      <c r="G686" s="51"/>
      <c r="H686" s="51"/>
      <c r="I686" s="51"/>
      <c r="J686" s="51"/>
    </row>
    <row r="687" customFormat="false" ht="15" hidden="false" customHeight="false" outlineLevel="0" collapsed="false">
      <c r="A687" s="65"/>
      <c r="B687" s="51"/>
      <c r="C687" s="51"/>
      <c r="D687" s="51"/>
      <c r="E687" s="60" t="str">
        <f aca="false">IF(D687="","",IFERROR(INDEX(Settings!$C$16:$C$45,MATCH(D687,Settings!$B$16:$B$45,0)),"Check category"))</f>
        <v/>
      </c>
      <c r="F687" s="76"/>
      <c r="G687" s="51"/>
      <c r="H687" s="51"/>
      <c r="I687" s="51"/>
      <c r="J687" s="51"/>
    </row>
    <row r="688" customFormat="false" ht="15" hidden="false" customHeight="false" outlineLevel="0" collapsed="false">
      <c r="A688" s="65"/>
      <c r="B688" s="51"/>
      <c r="C688" s="51"/>
      <c r="D688" s="51"/>
      <c r="E688" s="60" t="str">
        <f aca="false">IF(D688="","",IFERROR(INDEX(Settings!$C$16:$C$45,MATCH(D688,Settings!$B$16:$B$45,0)),"Check category"))</f>
        <v/>
      </c>
      <c r="F688" s="76"/>
      <c r="G688" s="51"/>
      <c r="H688" s="51"/>
      <c r="I688" s="51"/>
      <c r="J688" s="51"/>
    </row>
    <row r="689" customFormat="false" ht="15" hidden="false" customHeight="false" outlineLevel="0" collapsed="false">
      <c r="A689" s="65"/>
      <c r="B689" s="51"/>
      <c r="C689" s="51"/>
      <c r="D689" s="51"/>
      <c r="E689" s="60" t="str">
        <f aca="false">IF(D689="","",IFERROR(INDEX(Settings!$C$16:$C$45,MATCH(D689,Settings!$B$16:$B$45,0)),"Check category"))</f>
        <v/>
      </c>
      <c r="F689" s="76"/>
      <c r="G689" s="51"/>
      <c r="H689" s="51"/>
      <c r="I689" s="51"/>
      <c r="J689" s="51"/>
    </row>
    <row r="690" customFormat="false" ht="15" hidden="false" customHeight="false" outlineLevel="0" collapsed="false">
      <c r="A690" s="65"/>
      <c r="B690" s="51"/>
      <c r="C690" s="51"/>
      <c r="D690" s="51"/>
      <c r="E690" s="60" t="str">
        <f aca="false">IF(D690="","",IFERROR(INDEX(Settings!$C$16:$C$45,MATCH(D690,Settings!$B$16:$B$45,0)),"Check category"))</f>
        <v/>
      </c>
      <c r="F690" s="76"/>
      <c r="G690" s="51"/>
      <c r="H690" s="51"/>
      <c r="I690" s="51"/>
      <c r="J690" s="51"/>
    </row>
    <row r="691" customFormat="false" ht="15" hidden="false" customHeight="false" outlineLevel="0" collapsed="false">
      <c r="A691" s="65"/>
      <c r="B691" s="51"/>
      <c r="C691" s="51"/>
      <c r="D691" s="51"/>
      <c r="E691" s="60" t="str">
        <f aca="false">IF(D691="","",IFERROR(INDEX(Settings!$C$16:$C$45,MATCH(D691,Settings!$B$16:$B$45,0)),"Check category"))</f>
        <v/>
      </c>
      <c r="F691" s="76"/>
      <c r="G691" s="51"/>
      <c r="H691" s="51"/>
      <c r="I691" s="51"/>
      <c r="J691" s="51"/>
    </row>
    <row r="692" customFormat="false" ht="15" hidden="false" customHeight="false" outlineLevel="0" collapsed="false">
      <c r="A692" s="65"/>
      <c r="B692" s="51"/>
      <c r="C692" s="51"/>
      <c r="D692" s="51"/>
      <c r="E692" s="60" t="str">
        <f aca="false">IF(D692="","",IFERROR(INDEX(Settings!$C$16:$C$45,MATCH(D692,Settings!$B$16:$B$45,0)),"Check category"))</f>
        <v/>
      </c>
      <c r="F692" s="76"/>
      <c r="G692" s="51"/>
      <c r="H692" s="51"/>
      <c r="I692" s="51"/>
      <c r="J692" s="51"/>
    </row>
    <row r="693" customFormat="false" ht="15" hidden="false" customHeight="false" outlineLevel="0" collapsed="false">
      <c r="A693" s="65"/>
      <c r="B693" s="51"/>
      <c r="C693" s="51"/>
      <c r="D693" s="51"/>
      <c r="E693" s="60" t="str">
        <f aca="false">IF(D693="","",IFERROR(INDEX(Settings!$C$16:$C$45,MATCH(D693,Settings!$B$16:$B$45,0)),"Check category"))</f>
        <v/>
      </c>
      <c r="F693" s="76"/>
      <c r="G693" s="51"/>
      <c r="H693" s="51"/>
      <c r="I693" s="51"/>
      <c r="J693" s="51"/>
    </row>
    <row r="694" customFormat="false" ht="15" hidden="false" customHeight="false" outlineLevel="0" collapsed="false">
      <c r="A694" s="65"/>
      <c r="B694" s="51"/>
      <c r="C694" s="51"/>
      <c r="D694" s="51"/>
      <c r="E694" s="60" t="str">
        <f aca="false">IF(D694="","",IFERROR(INDEX(Settings!$C$16:$C$45,MATCH(D694,Settings!$B$16:$B$45,0)),"Check category"))</f>
        <v/>
      </c>
      <c r="F694" s="76"/>
      <c r="G694" s="51"/>
      <c r="H694" s="51"/>
      <c r="I694" s="51"/>
      <c r="J694" s="51"/>
    </row>
    <row r="695" customFormat="false" ht="15" hidden="false" customHeight="false" outlineLevel="0" collapsed="false">
      <c r="A695" s="65"/>
      <c r="B695" s="51"/>
      <c r="C695" s="51"/>
      <c r="D695" s="51"/>
      <c r="E695" s="60" t="str">
        <f aca="false">IF(D695="","",IFERROR(INDEX(Settings!$C$16:$C$45,MATCH(D695,Settings!$B$16:$B$45,0)),"Check category"))</f>
        <v/>
      </c>
      <c r="F695" s="76"/>
      <c r="G695" s="51"/>
      <c r="H695" s="51"/>
      <c r="I695" s="51"/>
      <c r="J695" s="51"/>
    </row>
    <row r="696" customFormat="false" ht="15" hidden="false" customHeight="false" outlineLevel="0" collapsed="false">
      <c r="A696" s="65"/>
      <c r="B696" s="51"/>
      <c r="C696" s="51"/>
      <c r="D696" s="51"/>
      <c r="E696" s="60" t="str">
        <f aca="false">IF(D696="","",IFERROR(INDEX(Settings!$C$16:$C$45,MATCH(D696,Settings!$B$16:$B$45,0)),"Check category"))</f>
        <v/>
      </c>
      <c r="F696" s="76"/>
      <c r="G696" s="51"/>
      <c r="H696" s="51"/>
      <c r="I696" s="51"/>
      <c r="J696" s="51"/>
    </row>
    <row r="697" customFormat="false" ht="15" hidden="false" customHeight="false" outlineLevel="0" collapsed="false">
      <c r="A697" s="65"/>
      <c r="B697" s="51"/>
      <c r="C697" s="51"/>
      <c r="D697" s="51"/>
      <c r="E697" s="60" t="str">
        <f aca="false">IF(D697="","",IFERROR(INDEX(Settings!$C$16:$C$45,MATCH(D697,Settings!$B$16:$B$45,0)),"Check category"))</f>
        <v/>
      </c>
      <c r="F697" s="76"/>
      <c r="G697" s="51"/>
      <c r="H697" s="51"/>
      <c r="I697" s="51"/>
      <c r="J697" s="51"/>
    </row>
    <row r="698" customFormat="false" ht="15" hidden="false" customHeight="false" outlineLevel="0" collapsed="false">
      <c r="A698" s="65"/>
      <c r="B698" s="51"/>
      <c r="C698" s="51"/>
      <c r="D698" s="51"/>
      <c r="E698" s="60" t="str">
        <f aca="false">IF(D698="","",IFERROR(INDEX(Settings!$C$16:$C$45,MATCH(D698,Settings!$B$16:$B$45,0)),"Check category"))</f>
        <v/>
      </c>
      <c r="F698" s="76"/>
      <c r="G698" s="51"/>
      <c r="H698" s="51"/>
      <c r="I698" s="51"/>
      <c r="J698" s="51"/>
    </row>
    <row r="699" customFormat="false" ht="15" hidden="false" customHeight="false" outlineLevel="0" collapsed="false">
      <c r="A699" s="65"/>
      <c r="B699" s="51"/>
      <c r="C699" s="51"/>
      <c r="D699" s="51"/>
      <c r="E699" s="60" t="str">
        <f aca="false">IF(D699="","",IFERROR(INDEX(Settings!$C$16:$C$45,MATCH(D699,Settings!$B$16:$B$45,0)),"Check category"))</f>
        <v/>
      </c>
      <c r="F699" s="76"/>
      <c r="G699" s="51"/>
      <c r="H699" s="51"/>
      <c r="I699" s="51"/>
      <c r="J699" s="51"/>
    </row>
    <row r="700" customFormat="false" ht="15" hidden="false" customHeight="false" outlineLevel="0" collapsed="false">
      <c r="A700" s="65"/>
      <c r="B700" s="51"/>
      <c r="C700" s="51"/>
      <c r="D700" s="51"/>
      <c r="E700" s="60" t="str">
        <f aca="false">IF(D700="","",IFERROR(INDEX(Settings!$C$16:$C$45,MATCH(D700,Settings!$B$16:$B$45,0)),"Check category"))</f>
        <v/>
      </c>
      <c r="F700" s="76"/>
      <c r="G700" s="51"/>
      <c r="H700" s="51"/>
      <c r="I700" s="51"/>
      <c r="J700" s="51"/>
    </row>
    <row r="701" customFormat="false" ht="15" hidden="false" customHeight="false" outlineLevel="0" collapsed="false">
      <c r="A701" s="65"/>
      <c r="B701" s="51"/>
      <c r="C701" s="51"/>
      <c r="D701" s="51"/>
      <c r="E701" s="60" t="str">
        <f aca="false">IF(D701="","",IFERROR(INDEX(Settings!$C$16:$C$45,MATCH(D701,Settings!$B$16:$B$45,0)),"Check category"))</f>
        <v/>
      </c>
      <c r="F701" s="76"/>
      <c r="G701" s="51"/>
      <c r="H701" s="51"/>
      <c r="I701" s="51"/>
      <c r="J701" s="51"/>
    </row>
    <row r="702" customFormat="false" ht="15" hidden="false" customHeight="false" outlineLevel="0" collapsed="false">
      <c r="A702" s="65"/>
      <c r="B702" s="51"/>
      <c r="C702" s="51"/>
      <c r="D702" s="51"/>
      <c r="E702" s="60" t="str">
        <f aca="false">IF(D702="","",IFERROR(INDEX(Settings!$C$16:$C$45,MATCH(D702,Settings!$B$16:$B$45,0)),"Check category"))</f>
        <v/>
      </c>
      <c r="F702" s="76"/>
      <c r="G702" s="51"/>
      <c r="H702" s="51"/>
      <c r="I702" s="51"/>
      <c r="J702" s="51"/>
    </row>
    <row r="703" customFormat="false" ht="15" hidden="false" customHeight="false" outlineLevel="0" collapsed="false">
      <c r="A703" s="65"/>
      <c r="B703" s="51"/>
      <c r="C703" s="51"/>
      <c r="D703" s="51"/>
      <c r="E703" s="60" t="str">
        <f aca="false">IF(D703="","",IFERROR(INDEX(Settings!$C$16:$C$45,MATCH(D703,Settings!$B$16:$B$45,0)),"Check category"))</f>
        <v/>
      </c>
      <c r="F703" s="76"/>
      <c r="G703" s="51"/>
      <c r="H703" s="51"/>
      <c r="I703" s="51"/>
      <c r="J703" s="51"/>
    </row>
    <row r="704" customFormat="false" ht="15" hidden="false" customHeight="false" outlineLevel="0" collapsed="false">
      <c r="A704" s="65"/>
      <c r="B704" s="51"/>
      <c r="C704" s="51"/>
      <c r="D704" s="51"/>
      <c r="E704" s="60" t="str">
        <f aca="false">IF(D704="","",IFERROR(INDEX(Settings!$C$16:$C$45,MATCH(D704,Settings!$B$16:$B$45,0)),"Check category"))</f>
        <v/>
      </c>
      <c r="F704" s="76"/>
      <c r="G704" s="51"/>
      <c r="H704" s="51"/>
      <c r="I704" s="51"/>
      <c r="J704" s="51"/>
    </row>
    <row r="705" customFormat="false" ht="15" hidden="false" customHeight="false" outlineLevel="0" collapsed="false">
      <c r="A705" s="65"/>
      <c r="B705" s="51"/>
      <c r="C705" s="51"/>
      <c r="D705" s="51"/>
      <c r="E705" s="60" t="str">
        <f aca="false">IF(D705="","",IFERROR(INDEX(Settings!$C$16:$C$45,MATCH(D705,Settings!$B$16:$B$45,0)),"Check category"))</f>
        <v/>
      </c>
      <c r="F705" s="76"/>
      <c r="G705" s="51"/>
      <c r="H705" s="51"/>
      <c r="I705" s="51"/>
      <c r="J705" s="51"/>
    </row>
    <row r="706" customFormat="false" ht="15" hidden="false" customHeight="false" outlineLevel="0" collapsed="false">
      <c r="A706" s="65"/>
      <c r="B706" s="51"/>
      <c r="C706" s="51"/>
      <c r="D706" s="51"/>
      <c r="E706" s="60" t="str">
        <f aca="false">IF(D706="","",IFERROR(INDEX(Settings!$C$16:$C$45,MATCH(D706,Settings!$B$16:$B$45,0)),"Check category"))</f>
        <v/>
      </c>
      <c r="F706" s="76"/>
      <c r="G706" s="51"/>
      <c r="H706" s="51"/>
      <c r="I706" s="51"/>
      <c r="J706" s="51"/>
    </row>
    <row r="707" customFormat="false" ht="15" hidden="false" customHeight="false" outlineLevel="0" collapsed="false">
      <c r="A707" s="65"/>
      <c r="B707" s="51"/>
      <c r="C707" s="51"/>
      <c r="D707" s="51"/>
      <c r="E707" s="60" t="str">
        <f aca="false">IF(D707="","",IFERROR(INDEX(Settings!$C$16:$C$45,MATCH(D707,Settings!$B$16:$B$45,0)),"Check category"))</f>
        <v/>
      </c>
      <c r="F707" s="76"/>
      <c r="G707" s="51"/>
      <c r="H707" s="51"/>
      <c r="I707" s="51"/>
      <c r="J707" s="51"/>
    </row>
    <row r="708" customFormat="false" ht="15" hidden="false" customHeight="false" outlineLevel="0" collapsed="false">
      <c r="A708" s="65"/>
      <c r="B708" s="51"/>
      <c r="C708" s="51"/>
      <c r="D708" s="51"/>
      <c r="E708" s="60" t="str">
        <f aca="false">IF(D708="","",IFERROR(INDEX(Settings!$C$16:$C$45,MATCH(D708,Settings!$B$16:$B$45,0)),"Check category"))</f>
        <v/>
      </c>
      <c r="F708" s="76"/>
      <c r="G708" s="51"/>
      <c r="H708" s="51"/>
      <c r="I708" s="51"/>
      <c r="J708" s="51"/>
    </row>
    <row r="709" customFormat="false" ht="15" hidden="false" customHeight="false" outlineLevel="0" collapsed="false">
      <c r="A709" s="65"/>
      <c r="B709" s="51"/>
      <c r="C709" s="51"/>
      <c r="D709" s="51"/>
      <c r="E709" s="60" t="str">
        <f aca="false">IF(D709="","",IFERROR(INDEX(Settings!$C$16:$C$45,MATCH(D709,Settings!$B$16:$B$45,0)),"Check category"))</f>
        <v/>
      </c>
      <c r="F709" s="76"/>
      <c r="G709" s="51"/>
      <c r="H709" s="51"/>
      <c r="I709" s="51"/>
      <c r="J709" s="51"/>
    </row>
    <row r="710" customFormat="false" ht="15" hidden="false" customHeight="false" outlineLevel="0" collapsed="false">
      <c r="A710" s="65"/>
      <c r="B710" s="51"/>
      <c r="C710" s="51"/>
      <c r="D710" s="51"/>
      <c r="E710" s="60" t="str">
        <f aca="false">IF(D710="","",IFERROR(INDEX(Settings!$C$16:$C$45,MATCH(D710,Settings!$B$16:$B$45,0)),"Check category"))</f>
        <v/>
      </c>
      <c r="F710" s="76"/>
      <c r="G710" s="51"/>
      <c r="H710" s="51"/>
      <c r="I710" s="51"/>
      <c r="J710" s="51"/>
    </row>
    <row r="711" customFormat="false" ht="15" hidden="false" customHeight="false" outlineLevel="0" collapsed="false">
      <c r="A711" s="65"/>
      <c r="B711" s="51"/>
      <c r="C711" s="51"/>
      <c r="D711" s="51"/>
      <c r="E711" s="60" t="str">
        <f aca="false">IF(D711="","",IFERROR(INDEX(Settings!$C$16:$C$45,MATCH(D711,Settings!$B$16:$B$45,0)),"Check category"))</f>
        <v/>
      </c>
      <c r="F711" s="76"/>
      <c r="G711" s="51"/>
      <c r="H711" s="51"/>
      <c r="I711" s="51"/>
      <c r="J711" s="51"/>
    </row>
    <row r="712" customFormat="false" ht="15" hidden="false" customHeight="false" outlineLevel="0" collapsed="false">
      <c r="A712" s="65"/>
      <c r="B712" s="51"/>
      <c r="C712" s="51"/>
      <c r="D712" s="51"/>
      <c r="E712" s="60" t="str">
        <f aca="false">IF(D712="","",IFERROR(INDEX(Settings!$C$16:$C$45,MATCH(D712,Settings!$B$16:$B$45,0)),"Check category"))</f>
        <v/>
      </c>
      <c r="F712" s="76"/>
      <c r="G712" s="51"/>
      <c r="H712" s="51"/>
      <c r="I712" s="51"/>
      <c r="J712" s="51"/>
    </row>
    <row r="713" customFormat="false" ht="15" hidden="false" customHeight="false" outlineLevel="0" collapsed="false">
      <c r="A713" s="65"/>
      <c r="B713" s="51"/>
      <c r="C713" s="51"/>
      <c r="D713" s="51"/>
      <c r="E713" s="60" t="str">
        <f aca="false">IF(D713="","",IFERROR(INDEX(Settings!$C$16:$C$45,MATCH(D713,Settings!$B$16:$B$45,0)),"Check category"))</f>
        <v/>
      </c>
      <c r="F713" s="76"/>
      <c r="G713" s="51"/>
      <c r="H713" s="51"/>
      <c r="I713" s="51"/>
      <c r="J713" s="51"/>
    </row>
    <row r="714" customFormat="false" ht="15" hidden="false" customHeight="false" outlineLevel="0" collapsed="false">
      <c r="A714" s="65"/>
      <c r="B714" s="51"/>
      <c r="C714" s="51"/>
      <c r="D714" s="51"/>
      <c r="E714" s="60" t="str">
        <f aca="false">IF(D714="","",IFERROR(INDEX(Settings!$C$16:$C$45,MATCH(D714,Settings!$B$16:$B$45,0)),"Check category"))</f>
        <v/>
      </c>
      <c r="F714" s="76"/>
      <c r="G714" s="51"/>
      <c r="H714" s="51"/>
      <c r="I714" s="51"/>
      <c r="J714" s="51"/>
    </row>
    <row r="715" customFormat="false" ht="15" hidden="false" customHeight="false" outlineLevel="0" collapsed="false">
      <c r="A715" s="65"/>
      <c r="B715" s="51"/>
      <c r="C715" s="51"/>
      <c r="D715" s="51"/>
      <c r="E715" s="60" t="str">
        <f aca="false">IF(D715="","",IFERROR(INDEX(Settings!$C$16:$C$45,MATCH(D715,Settings!$B$16:$B$45,0)),"Check category"))</f>
        <v/>
      </c>
      <c r="F715" s="76"/>
      <c r="G715" s="51"/>
      <c r="H715" s="51"/>
      <c r="I715" s="51"/>
      <c r="J715" s="51"/>
    </row>
    <row r="716" customFormat="false" ht="15" hidden="false" customHeight="false" outlineLevel="0" collapsed="false">
      <c r="A716" s="65"/>
      <c r="B716" s="51"/>
      <c r="C716" s="51"/>
      <c r="D716" s="51"/>
      <c r="E716" s="60" t="str">
        <f aca="false">IF(D716="","",IFERROR(INDEX(Settings!$C$16:$C$45,MATCH(D716,Settings!$B$16:$B$45,0)),"Check category"))</f>
        <v/>
      </c>
      <c r="F716" s="76"/>
      <c r="G716" s="51"/>
      <c r="H716" s="51"/>
      <c r="I716" s="51"/>
      <c r="J716" s="51"/>
    </row>
    <row r="717" customFormat="false" ht="15" hidden="false" customHeight="false" outlineLevel="0" collapsed="false">
      <c r="A717" s="65"/>
      <c r="B717" s="51"/>
      <c r="C717" s="51"/>
      <c r="D717" s="51"/>
      <c r="E717" s="60" t="str">
        <f aca="false">IF(D717="","",IFERROR(INDEX(Settings!$C$16:$C$45,MATCH(D717,Settings!$B$16:$B$45,0)),"Check category"))</f>
        <v/>
      </c>
      <c r="F717" s="76"/>
      <c r="G717" s="51"/>
      <c r="H717" s="51"/>
      <c r="I717" s="51"/>
      <c r="J717" s="51"/>
    </row>
    <row r="718" customFormat="false" ht="15" hidden="false" customHeight="false" outlineLevel="0" collapsed="false">
      <c r="A718" s="65"/>
      <c r="B718" s="51"/>
      <c r="C718" s="51"/>
      <c r="D718" s="51"/>
      <c r="E718" s="60" t="str">
        <f aca="false">IF(D718="","",IFERROR(INDEX(Settings!$C$16:$C$45,MATCH(D718,Settings!$B$16:$B$45,0)),"Check category"))</f>
        <v/>
      </c>
      <c r="F718" s="76"/>
      <c r="G718" s="51"/>
      <c r="H718" s="51"/>
      <c r="I718" s="51"/>
      <c r="J718" s="51"/>
    </row>
    <row r="719" customFormat="false" ht="15" hidden="false" customHeight="false" outlineLevel="0" collapsed="false">
      <c r="A719" s="65"/>
      <c r="B719" s="51"/>
      <c r="C719" s="51"/>
      <c r="D719" s="51"/>
      <c r="E719" s="60" t="str">
        <f aca="false">IF(D719="","",IFERROR(INDEX(Settings!$C$16:$C$45,MATCH(D719,Settings!$B$16:$B$45,0)),"Check category"))</f>
        <v/>
      </c>
      <c r="F719" s="76"/>
      <c r="G719" s="51"/>
      <c r="H719" s="51"/>
      <c r="I719" s="51"/>
      <c r="J719" s="51"/>
    </row>
    <row r="720" customFormat="false" ht="15" hidden="false" customHeight="false" outlineLevel="0" collapsed="false">
      <c r="A720" s="65"/>
      <c r="B720" s="51"/>
      <c r="C720" s="51"/>
      <c r="D720" s="51"/>
      <c r="E720" s="60" t="str">
        <f aca="false">IF(D720="","",IFERROR(INDEX(Settings!$C$16:$C$45,MATCH(D720,Settings!$B$16:$B$45,0)),"Check category"))</f>
        <v/>
      </c>
      <c r="F720" s="76"/>
      <c r="G720" s="51"/>
      <c r="H720" s="51"/>
      <c r="I720" s="51"/>
      <c r="J720" s="51"/>
    </row>
    <row r="721" customFormat="false" ht="15" hidden="false" customHeight="false" outlineLevel="0" collapsed="false">
      <c r="A721" s="65"/>
      <c r="B721" s="51"/>
      <c r="C721" s="51"/>
      <c r="D721" s="51"/>
      <c r="E721" s="60" t="str">
        <f aca="false">IF(D721="","",IFERROR(INDEX(Settings!$C$16:$C$45,MATCH(D721,Settings!$B$16:$B$45,0)),"Check category"))</f>
        <v/>
      </c>
      <c r="F721" s="76"/>
      <c r="G721" s="51"/>
      <c r="H721" s="51"/>
      <c r="I721" s="51"/>
      <c r="J721" s="51"/>
    </row>
    <row r="722" customFormat="false" ht="15" hidden="false" customHeight="false" outlineLevel="0" collapsed="false">
      <c r="A722" s="65"/>
      <c r="B722" s="51"/>
      <c r="C722" s="51"/>
      <c r="D722" s="51"/>
      <c r="E722" s="60" t="str">
        <f aca="false">IF(D722="","",IFERROR(INDEX(Settings!$C$16:$C$45,MATCH(D722,Settings!$B$16:$B$45,0)),"Check category"))</f>
        <v/>
      </c>
      <c r="F722" s="76"/>
      <c r="G722" s="51"/>
      <c r="H722" s="51"/>
      <c r="I722" s="51"/>
      <c r="J722" s="51"/>
    </row>
    <row r="723" customFormat="false" ht="15" hidden="false" customHeight="false" outlineLevel="0" collapsed="false">
      <c r="A723" s="65"/>
      <c r="B723" s="51"/>
      <c r="C723" s="51"/>
      <c r="D723" s="51"/>
      <c r="E723" s="60" t="str">
        <f aca="false">IF(D723="","",IFERROR(INDEX(Settings!$C$16:$C$45,MATCH(D723,Settings!$B$16:$B$45,0)),"Check category"))</f>
        <v/>
      </c>
      <c r="F723" s="76"/>
      <c r="G723" s="51"/>
      <c r="H723" s="51"/>
      <c r="I723" s="51"/>
      <c r="J723" s="51"/>
    </row>
    <row r="724" customFormat="false" ht="15" hidden="false" customHeight="false" outlineLevel="0" collapsed="false">
      <c r="A724" s="65"/>
      <c r="B724" s="51"/>
      <c r="C724" s="51"/>
      <c r="D724" s="51"/>
      <c r="E724" s="60" t="str">
        <f aca="false">IF(D724="","",IFERROR(INDEX(Settings!$C$16:$C$45,MATCH(D724,Settings!$B$16:$B$45,0)),"Check category"))</f>
        <v/>
      </c>
      <c r="F724" s="76"/>
      <c r="G724" s="51"/>
      <c r="H724" s="51"/>
      <c r="I724" s="51"/>
      <c r="J724" s="51"/>
    </row>
    <row r="725" customFormat="false" ht="15" hidden="false" customHeight="false" outlineLevel="0" collapsed="false">
      <c r="A725" s="65"/>
      <c r="B725" s="51"/>
      <c r="C725" s="51"/>
      <c r="D725" s="51"/>
      <c r="E725" s="60" t="str">
        <f aca="false">IF(D725="","",IFERROR(INDEX(Settings!$C$16:$C$45,MATCH(D725,Settings!$B$16:$B$45,0)),"Check category"))</f>
        <v/>
      </c>
      <c r="F725" s="76"/>
      <c r="G725" s="51"/>
      <c r="H725" s="51"/>
      <c r="I725" s="51"/>
      <c r="J725" s="51"/>
    </row>
    <row r="726" customFormat="false" ht="15" hidden="false" customHeight="false" outlineLevel="0" collapsed="false">
      <c r="A726" s="65"/>
      <c r="B726" s="51"/>
      <c r="C726" s="51"/>
      <c r="D726" s="51"/>
      <c r="E726" s="60" t="str">
        <f aca="false">IF(D726="","",IFERROR(INDEX(Settings!$C$16:$C$45,MATCH(D726,Settings!$B$16:$B$45,0)),"Check category"))</f>
        <v/>
      </c>
      <c r="F726" s="76"/>
      <c r="G726" s="51"/>
      <c r="H726" s="51"/>
      <c r="I726" s="51"/>
      <c r="J726" s="51"/>
    </row>
    <row r="727" customFormat="false" ht="15" hidden="false" customHeight="false" outlineLevel="0" collapsed="false">
      <c r="A727" s="65"/>
      <c r="B727" s="51"/>
      <c r="C727" s="51"/>
      <c r="D727" s="51"/>
      <c r="E727" s="60" t="str">
        <f aca="false">IF(D727="","",IFERROR(INDEX(Settings!$C$16:$C$45,MATCH(D727,Settings!$B$16:$B$45,0)),"Check category"))</f>
        <v/>
      </c>
      <c r="F727" s="76"/>
      <c r="G727" s="51"/>
      <c r="H727" s="51"/>
      <c r="I727" s="51"/>
      <c r="J727" s="51"/>
    </row>
    <row r="728" customFormat="false" ht="15" hidden="false" customHeight="false" outlineLevel="0" collapsed="false">
      <c r="A728" s="65"/>
      <c r="B728" s="51"/>
      <c r="C728" s="51"/>
      <c r="D728" s="51"/>
      <c r="E728" s="60" t="str">
        <f aca="false">IF(D728="","",IFERROR(INDEX(Settings!$C$16:$C$45,MATCH(D728,Settings!$B$16:$B$45,0)),"Check category"))</f>
        <v/>
      </c>
      <c r="F728" s="76"/>
      <c r="G728" s="51"/>
      <c r="H728" s="51"/>
      <c r="I728" s="51"/>
      <c r="J728" s="51"/>
    </row>
    <row r="729" customFormat="false" ht="15" hidden="false" customHeight="false" outlineLevel="0" collapsed="false">
      <c r="A729" s="65"/>
      <c r="B729" s="51"/>
      <c r="C729" s="51"/>
      <c r="D729" s="51"/>
      <c r="E729" s="60" t="str">
        <f aca="false">IF(D729="","",IFERROR(INDEX(Settings!$C$16:$C$45,MATCH(D729,Settings!$B$16:$B$45,0)),"Check category"))</f>
        <v/>
      </c>
      <c r="F729" s="76"/>
      <c r="G729" s="51"/>
      <c r="H729" s="51"/>
      <c r="I729" s="51"/>
      <c r="J729" s="51"/>
    </row>
    <row r="730" customFormat="false" ht="15" hidden="false" customHeight="false" outlineLevel="0" collapsed="false">
      <c r="A730" s="65"/>
      <c r="B730" s="51"/>
      <c r="C730" s="51"/>
      <c r="D730" s="51"/>
      <c r="E730" s="60" t="str">
        <f aca="false">IF(D730="","",IFERROR(INDEX(Settings!$C$16:$C$45,MATCH(D730,Settings!$B$16:$B$45,0)),"Check category"))</f>
        <v/>
      </c>
      <c r="F730" s="76"/>
      <c r="G730" s="51"/>
      <c r="H730" s="51"/>
      <c r="I730" s="51"/>
      <c r="J730" s="51"/>
    </row>
    <row r="731" customFormat="false" ht="15" hidden="false" customHeight="false" outlineLevel="0" collapsed="false">
      <c r="A731" s="65"/>
      <c r="B731" s="51"/>
      <c r="C731" s="51"/>
      <c r="D731" s="51"/>
      <c r="E731" s="60" t="str">
        <f aca="false">IF(D731="","",IFERROR(INDEX(Settings!$C$16:$C$45,MATCH(D731,Settings!$B$16:$B$45,0)),"Check category"))</f>
        <v/>
      </c>
      <c r="F731" s="76"/>
      <c r="G731" s="51"/>
      <c r="H731" s="51"/>
      <c r="I731" s="51"/>
      <c r="J731" s="51"/>
    </row>
    <row r="732" customFormat="false" ht="15" hidden="false" customHeight="false" outlineLevel="0" collapsed="false">
      <c r="A732" s="65"/>
      <c r="B732" s="51"/>
      <c r="C732" s="51"/>
      <c r="D732" s="51"/>
      <c r="E732" s="60" t="str">
        <f aca="false">IF(D732="","",IFERROR(INDEX(Settings!$C$16:$C$45,MATCH(D732,Settings!$B$16:$B$45,0)),"Check category"))</f>
        <v/>
      </c>
      <c r="F732" s="76"/>
      <c r="G732" s="51"/>
      <c r="H732" s="51"/>
      <c r="I732" s="51"/>
      <c r="J732" s="51"/>
    </row>
    <row r="733" customFormat="false" ht="15" hidden="false" customHeight="false" outlineLevel="0" collapsed="false">
      <c r="A733" s="65"/>
      <c r="B733" s="51"/>
      <c r="C733" s="51"/>
      <c r="D733" s="51"/>
      <c r="E733" s="60" t="str">
        <f aca="false">IF(D733="","",IFERROR(INDEX(Settings!$C$16:$C$45,MATCH(D733,Settings!$B$16:$B$45,0)),"Check category"))</f>
        <v/>
      </c>
      <c r="F733" s="76"/>
      <c r="G733" s="51"/>
      <c r="H733" s="51"/>
      <c r="I733" s="51"/>
      <c r="J733" s="51"/>
    </row>
    <row r="734" customFormat="false" ht="15" hidden="false" customHeight="false" outlineLevel="0" collapsed="false">
      <c r="A734" s="65"/>
      <c r="B734" s="51"/>
      <c r="C734" s="51"/>
      <c r="D734" s="51"/>
      <c r="E734" s="60" t="str">
        <f aca="false">IF(D734="","",IFERROR(INDEX(Settings!$C$16:$C$45,MATCH(D734,Settings!$B$16:$B$45,0)),"Check category"))</f>
        <v/>
      </c>
      <c r="F734" s="76"/>
      <c r="G734" s="51"/>
      <c r="H734" s="51"/>
      <c r="I734" s="51"/>
      <c r="J734" s="51"/>
    </row>
    <row r="735" customFormat="false" ht="15" hidden="false" customHeight="false" outlineLevel="0" collapsed="false">
      <c r="A735" s="65"/>
      <c r="B735" s="51"/>
      <c r="C735" s="51"/>
      <c r="D735" s="51"/>
      <c r="E735" s="60" t="str">
        <f aca="false">IF(D735="","",IFERROR(INDEX(Settings!$C$16:$C$45,MATCH(D735,Settings!$B$16:$B$45,0)),"Check category"))</f>
        <v/>
      </c>
      <c r="F735" s="76"/>
      <c r="G735" s="51"/>
      <c r="H735" s="51"/>
      <c r="I735" s="51"/>
      <c r="J735" s="51"/>
    </row>
    <row r="736" customFormat="false" ht="15" hidden="false" customHeight="false" outlineLevel="0" collapsed="false">
      <c r="A736" s="65"/>
      <c r="B736" s="51"/>
      <c r="C736" s="51"/>
      <c r="D736" s="51"/>
      <c r="E736" s="60" t="str">
        <f aca="false">IF(D736="","",IFERROR(INDEX(Settings!$C$16:$C$45,MATCH(D736,Settings!$B$16:$B$45,0)),"Check category"))</f>
        <v/>
      </c>
      <c r="F736" s="76"/>
      <c r="G736" s="51"/>
      <c r="H736" s="51"/>
      <c r="I736" s="51"/>
      <c r="J736" s="51"/>
    </row>
    <row r="737" customFormat="false" ht="15" hidden="false" customHeight="false" outlineLevel="0" collapsed="false">
      <c r="A737" s="65"/>
      <c r="B737" s="51"/>
      <c r="C737" s="51"/>
      <c r="D737" s="51"/>
      <c r="E737" s="60" t="str">
        <f aca="false">IF(D737="","",IFERROR(INDEX(Settings!$C$16:$C$45,MATCH(D737,Settings!$B$16:$B$45,0)),"Check category"))</f>
        <v/>
      </c>
      <c r="F737" s="76"/>
      <c r="G737" s="51"/>
      <c r="H737" s="51"/>
      <c r="I737" s="51"/>
      <c r="J737" s="51"/>
    </row>
    <row r="738" customFormat="false" ht="15" hidden="false" customHeight="false" outlineLevel="0" collapsed="false">
      <c r="A738" s="65"/>
      <c r="B738" s="51"/>
      <c r="C738" s="51"/>
      <c r="D738" s="51"/>
      <c r="E738" s="60" t="str">
        <f aca="false">IF(D738="","",IFERROR(INDEX(Settings!$C$16:$C$45,MATCH(D738,Settings!$B$16:$B$45,0)),"Check category"))</f>
        <v/>
      </c>
      <c r="F738" s="76"/>
      <c r="G738" s="51"/>
      <c r="H738" s="51"/>
      <c r="I738" s="51"/>
      <c r="J738" s="51"/>
    </row>
    <row r="739" customFormat="false" ht="15" hidden="false" customHeight="false" outlineLevel="0" collapsed="false">
      <c r="A739" s="65"/>
      <c r="B739" s="51"/>
      <c r="C739" s="51"/>
      <c r="D739" s="51"/>
      <c r="E739" s="60" t="str">
        <f aca="false">IF(D739="","",IFERROR(INDEX(Settings!$C$16:$C$45,MATCH(D739,Settings!$B$16:$B$45,0)),"Check category"))</f>
        <v/>
      </c>
      <c r="F739" s="76"/>
      <c r="G739" s="51"/>
      <c r="H739" s="51"/>
      <c r="I739" s="51"/>
      <c r="J739" s="51"/>
    </row>
    <row r="740" customFormat="false" ht="15" hidden="false" customHeight="false" outlineLevel="0" collapsed="false">
      <c r="A740" s="65"/>
      <c r="B740" s="51"/>
      <c r="C740" s="51"/>
      <c r="D740" s="51"/>
      <c r="E740" s="60" t="str">
        <f aca="false">IF(D740="","",IFERROR(INDEX(Settings!$C$16:$C$45,MATCH(D740,Settings!$B$16:$B$45,0)),"Check category"))</f>
        <v/>
      </c>
      <c r="F740" s="76"/>
      <c r="G740" s="51"/>
      <c r="H740" s="51"/>
      <c r="I740" s="51"/>
      <c r="J740" s="51"/>
    </row>
    <row r="741" customFormat="false" ht="15" hidden="false" customHeight="false" outlineLevel="0" collapsed="false">
      <c r="A741" s="65"/>
      <c r="B741" s="51"/>
      <c r="C741" s="51"/>
      <c r="D741" s="51"/>
      <c r="E741" s="60" t="str">
        <f aca="false">IF(D741="","",IFERROR(INDEX(Settings!$C$16:$C$45,MATCH(D741,Settings!$B$16:$B$45,0)),"Check category"))</f>
        <v/>
      </c>
      <c r="F741" s="76"/>
      <c r="G741" s="51"/>
      <c r="H741" s="51"/>
      <c r="I741" s="51"/>
      <c r="J741" s="51"/>
    </row>
    <row r="742" customFormat="false" ht="15" hidden="false" customHeight="false" outlineLevel="0" collapsed="false">
      <c r="A742" s="65"/>
      <c r="B742" s="51"/>
      <c r="C742" s="51"/>
      <c r="D742" s="51"/>
      <c r="E742" s="60" t="str">
        <f aca="false">IF(D742="","",IFERROR(INDEX(Settings!$C$16:$C$45,MATCH(D742,Settings!$B$16:$B$45,0)),"Check category"))</f>
        <v/>
      </c>
      <c r="F742" s="76"/>
      <c r="G742" s="51"/>
      <c r="H742" s="51"/>
      <c r="I742" s="51"/>
      <c r="J742" s="51"/>
    </row>
    <row r="743" customFormat="false" ht="15" hidden="false" customHeight="false" outlineLevel="0" collapsed="false">
      <c r="A743" s="65"/>
      <c r="B743" s="51"/>
      <c r="C743" s="51"/>
      <c r="D743" s="51"/>
      <c r="E743" s="60" t="str">
        <f aca="false">IF(D743="","",IFERROR(INDEX(Settings!$C$16:$C$45,MATCH(D743,Settings!$B$16:$B$45,0)),"Check category"))</f>
        <v/>
      </c>
      <c r="F743" s="76"/>
      <c r="G743" s="51"/>
      <c r="H743" s="51"/>
      <c r="I743" s="51"/>
      <c r="J743" s="51"/>
    </row>
    <row r="744" customFormat="false" ht="15" hidden="false" customHeight="false" outlineLevel="0" collapsed="false">
      <c r="A744" s="65"/>
      <c r="B744" s="51"/>
      <c r="C744" s="51"/>
      <c r="D744" s="51"/>
      <c r="E744" s="60" t="str">
        <f aca="false">IF(D744="","",IFERROR(INDEX(Settings!$C$16:$C$45,MATCH(D744,Settings!$B$16:$B$45,0)),"Check category"))</f>
        <v/>
      </c>
      <c r="F744" s="76"/>
      <c r="G744" s="51"/>
      <c r="H744" s="51"/>
      <c r="I744" s="51"/>
      <c r="J744" s="51"/>
    </row>
    <row r="745" customFormat="false" ht="15" hidden="false" customHeight="false" outlineLevel="0" collapsed="false">
      <c r="A745" s="65"/>
      <c r="B745" s="51"/>
      <c r="C745" s="51"/>
      <c r="D745" s="51"/>
      <c r="E745" s="60" t="str">
        <f aca="false">IF(D745="","",IFERROR(INDEX(Settings!$C$16:$C$45,MATCH(D745,Settings!$B$16:$B$45,0)),"Check category"))</f>
        <v/>
      </c>
      <c r="F745" s="76"/>
      <c r="G745" s="51"/>
      <c r="H745" s="51"/>
      <c r="I745" s="51"/>
      <c r="J745" s="51"/>
    </row>
    <row r="746" customFormat="false" ht="15" hidden="false" customHeight="false" outlineLevel="0" collapsed="false">
      <c r="A746" s="65"/>
      <c r="B746" s="51"/>
      <c r="C746" s="51"/>
      <c r="D746" s="51"/>
      <c r="E746" s="60" t="str">
        <f aca="false">IF(D746="","",IFERROR(INDEX(Settings!$C$16:$C$45,MATCH(D746,Settings!$B$16:$B$45,0)),"Check category"))</f>
        <v/>
      </c>
      <c r="F746" s="76"/>
      <c r="G746" s="51"/>
      <c r="H746" s="51"/>
      <c r="I746" s="51"/>
      <c r="J746" s="51"/>
    </row>
    <row r="747" customFormat="false" ht="15" hidden="false" customHeight="false" outlineLevel="0" collapsed="false">
      <c r="A747" s="65"/>
      <c r="B747" s="51"/>
      <c r="C747" s="51"/>
      <c r="D747" s="51"/>
      <c r="E747" s="60" t="str">
        <f aca="false">IF(D747="","",IFERROR(INDEX(Settings!$C$16:$C$45,MATCH(D747,Settings!$B$16:$B$45,0)),"Check category"))</f>
        <v/>
      </c>
      <c r="F747" s="76"/>
      <c r="G747" s="51"/>
      <c r="H747" s="51"/>
      <c r="I747" s="51"/>
      <c r="J747" s="51"/>
    </row>
    <row r="748" customFormat="false" ht="15" hidden="false" customHeight="false" outlineLevel="0" collapsed="false">
      <c r="A748" s="65"/>
      <c r="B748" s="51"/>
      <c r="C748" s="51"/>
      <c r="D748" s="51"/>
      <c r="E748" s="60" t="str">
        <f aca="false">IF(D748="","",IFERROR(INDEX(Settings!$C$16:$C$45,MATCH(D748,Settings!$B$16:$B$45,0)),"Check category"))</f>
        <v/>
      </c>
      <c r="F748" s="76"/>
      <c r="G748" s="51"/>
      <c r="H748" s="51"/>
      <c r="I748" s="51"/>
      <c r="J748" s="51"/>
    </row>
    <row r="749" customFormat="false" ht="15" hidden="false" customHeight="false" outlineLevel="0" collapsed="false">
      <c r="A749" s="65"/>
      <c r="B749" s="51"/>
      <c r="C749" s="51"/>
      <c r="D749" s="51"/>
      <c r="E749" s="60" t="str">
        <f aca="false">IF(D749="","",IFERROR(INDEX(Settings!$C$16:$C$45,MATCH(D749,Settings!$B$16:$B$45,0)),"Check category"))</f>
        <v/>
      </c>
      <c r="F749" s="76"/>
      <c r="G749" s="51"/>
      <c r="H749" s="51"/>
      <c r="I749" s="51"/>
      <c r="J749" s="51"/>
    </row>
    <row r="750" customFormat="false" ht="15" hidden="false" customHeight="false" outlineLevel="0" collapsed="false">
      <c r="A750" s="65"/>
      <c r="B750" s="51"/>
      <c r="C750" s="51"/>
      <c r="D750" s="51"/>
      <c r="E750" s="60" t="str">
        <f aca="false">IF(D750="","",IFERROR(INDEX(Settings!$C$16:$C$45,MATCH(D750,Settings!$B$16:$B$45,0)),"Check category"))</f>
        <v/>
      </c>
      <c r="F750" s="76"/>
      <c r="G750" s="51"/>
      <c r="H750" s="51"/>
      <c r="I750" s="51"/>
      <c r="J750" s="51"/>
    </row>
    <row r="751" customFormat="false" ht="15" hidden="false" customHeight="false" outlineLevel="0" collapsed="false">
      <c r="A751" s="65"/>
      <c r="B751" s="51"/>
      <c r="C751" s="51"/>
      <c r="D751" s="51"/>
      <c r="E751" s="60" t="str">
        <f aca="false">IF(D751="","",IFERROR(INDEX(Settings!$C$16:$C$45,MATCH(D751,Settings!$B$16:$B$45,0)),"Check category"))</f>
        <v/>
      </c>
      <c r="F751" s="76"/>
      <c r="G751" s="51"/>
      <c r="H751" s="51"/>
      <c r="I751" s="51"/>
      <c r="J751" s="51"/>
    </row>
    <row r="752" customFormat="false" ht="15" hidden="false" customHeight="false" outlineLevel="0" collapsed="false">
      <c r="A752" s="65"/>
      <c r="B752" s="51"/>
      <c r="C752" s="51"/>
      <c r="D752" s="51"/>
      <c r="E752" s="60" t="str">
        <f aca="false">IF(D752="","",IFERROR(INDEX(Settings!$C$16:$C$45,MATCH(D752,Settings!$B$16:$B$45,0)),"Check category"))</f>
        <v/>
      </c>
      <c r="F752" s="76"/>
      <c r="G752" s="51"/>
      <c r="H752" s="51"/>
      <c r="I752" s="51"/>
      <c r="J752" s="51"/>
    </row>
    <row r="753" customFormat="false" ht="15" hidden="false" customHeight="false" outlineLevel="0" collapsed="false">
      <c r="A753" s="65"/>
      <c r="B753" s="51"/>
      <c r="C753" s="51"/>
      <c r="D753" s="51"/>
      <c r="E753" s="60" t="str">
        <f aca="false">IF(D753="","",IFERROR(INDEX(Settings!$C$16:$C$45,MATCH(D753,Settings!$B$16:$B$45,0)),"Check category"))</f>
        <v/>
      </c>
      <c r="F753" s="76"/>
      <c r="G753" s="51"/>
      <c r="H753" s="51"/>
      <c r="I753" s="51"/>
      <c r="J753" s="51"/>
    </row>
    <row r="754" customFormat="false" ht="15" hidden="false" customHeight="false" outlineLevel="0" collapsed="false">
      <c r="A754" s="65"/>
      <c r="B754" s="51"/>
      <c r="C754" s="51"/>
      <c r="D754" s="51"/>
      <c r="E754" s="60" t="str">
        <f aca="false">IF(D754="","",IFERROR(INDEX(Settings!$C$16:$C$45,MATCH(D754,Settings!$B$16:$B$45,0)),"Check category"))</f>
        <v/>
      </c>
      <c r="F754" s="76"/>
      <c r="G754" s="51"/>
      <c r="H754" s="51"/>
      <c r="I754" s="51"/>
      <c r="J754" s="51"/>
    </row>
    <row r="755" customFormat="false" ht="15" hidden="false" customHeight="false" outlineLevel="0" collapsed="false">
      <c r="A755" s="65"/>
      <c r="B755" s="51"/>
      <c r="C755" s="51"/>
      <c r="D755" s="51"/>
      <c r="E755" s="60" t="str">
        <f aca="false">IF(D755="","",IFERROR(INDEX(Settings!$C$16:$C$45,MATCH(D755,Settings!$B$16:$B$45,0)),"Check category"))</f>
        <v/>
      </c>
      <c r="F755" s="76"/>
      <c r="G755" s="51"/>
      <c r="H755" s="51"/>
      <c r="I755" s="51"/>
      <c r="J755" s="51"/>
    </row>
    <row r="756" customFormat="false" ht="15" hidden="false" customHeight="false" outlineLevel="0" collapsed="false">
      <c r="A756" s="65"/>
      <c r="B756" s="51"/>
      <c r="C756" s="51"/>
      <c r="D756" s="51"/>
      <c r="E756" s="60" t="str">
        <f aca="false">IF(D756="","",IFERROR(INDEX(Settings!$C$16:$C$45,MATCH(D756,Settings!$B$16:$B$45,0)),"Check category"))</f>
        <v/>
      </c>
      <c r="F756" s="76"/>
      <c r="G756" s="51"/>
      <c r="H756" s="51"/>
      <c r="I756" s="51"/>
      <c r="J756" s="51"/>
    </row>
    <row r="757" customFormat="false" ht="15" hidden="false" customHeight="false" outlineLevel="0" collapsed="false">
      <c r="A757" s="65"/>
      <c r="B757" s="51"/>
      <c r="C757" s="51"/>
      <c r="D757" s="51"/>
      <c r="E757" s="60" t="str">
        <f aca="false">IF(D757="","",IFERROR(INDEX(Settings!$C$16:$C$45,MATCH(D757,Settings!$B$16:$B$45,0)),"Check category"))</f>
        <v/>
      </c>
      <c r="F757" s="76"/>
      <c r="G757" s="51"/>
      <c r="H757" s="51"/>
      <c r="I757" s="51"/>
      <c r="J757" s="51"/>
    </row>
    <row r="758" customFormat="false" ht="15" hidden="false" customHeight="false" outlineLevel="0" collapsed="false">
      <c r="A758" s="65"/>
      <c r="B758" s="51"/>
      <c r="C758" s="51"/>
      <c r="D758" s="51"/>
      <c r="E758" s="60" t="str">
        <f aca="false">IF(D758="","",IFERROR(INDEX(Settings!$C$16:$C$45,MATCH(D758,Settings!$B$16:$B$45,0)),"Check category"))</f>
        <v/>
      </c>
      <c r="F758" s="76"/>
      <c r="G758" s="51"/>
      <c r="H758" s="51"/>
      <c r="I758" s="51"/>
      <c r="J758" s="51"/>
    </row>
    <row r="759" customFormat="false" ht="15" hidden="false" customHeight="false" outlineLevel="0" collapsed="false">
      <c r="A759" s="65"/>
      <c r="B759" s="51"/>
      <c r="C759" s="51"/>
      <c r="D759" s="51"/>
      <c r="E759" s="60" t="str">
        <f aca="false">IF(D759="","",IFERROR(INDEX(Settings!$C$16:$C$45,MATCH(D759,Settings!$B$16:$B$45,0)),"Check category"))</f>
        <v/>
      </c>
      <c r="F759" s="76"/>
      <c r="G759" s="51"/>
      <c r="H759" s="51"/>
      <c r="I759" s="51"/>
      <c r="J759" s="51"/>
    </row>
    <row r="760" customFormat="false" ht="15" hidden="false" customHeight="false" outlineLevel="0" collapsed="false">
      <c r="A760" s="65"/>
      <c r="B760" s="51"/>
      <c r="C760" s="51"/>
      <c r="D760" s="51"/>
      <c r="E760" s="60" t="str">
        <f aca="false">IF(D760="","",IFERROR(INDEX(Settings!$C$16:$C$45,MATCH(D760,Settings!$B$16:$B$45,0)),"Check category"))</f>
        <v/>
      </c>
      <c r="F760" s="76"/>
      <c r="G760" s="51"/>
      <c r="H760" s="51"/>
      <c r="I760" s="51"/>
      <c r="J760" s="51"/>
    </row>
    <row r="761" customFormat="false" ht="15" hidden="false" customHeight="false" outlineLevel="0" collapsed="false">
      <c r="A761" s="65"/>
      <c r="B761" s="51"/>
      <c r="C761" s="51"/>
      <c r="D761" s="51"/>
      <c r="E761" s="60" t="str">
        <f aca="false">IF(D761="","",IFERROR(INDEX(Settings!$C$16:$C$45,MATCH(D761,Settings!$B$16:$B$45,0)),"Check category"))</f>
        <v/>
      </c>
      <c r="F761" s="76"/>
      <c r="G761" s="51"/>
      <c r="H761" s="51"/>
      <c r="I761" s="51"/>
      <c r="J761" s="51"/>
    </row>
    <row r="762" customFormat="false" ht="15" hidden="false" customHeight="false" outlineLevel="0" collapsed="false">
      <c r="A762" s="65"/>
      <c r="B762" s="51"/>
      <c r="C762" s="51"/>
      <c r="D762" s="51"/>
      <c r="E762" s="60" t="str">
        <f aca="false">IF(D762="","",IFERROR(INDEX(Settings!$C$16:$C$45,MATCH(D762,Settings!$B$16:$B$45,0)),"Check category"))</f>
        <v/>
      </c>
      <c r="F762" s="76"/>
      <c r="G762" s="51"/>
      <c r="H762" s="51"/>
      <c r="I762" s="51"/>
      <c r="J762" s="51"/>
    </row>
    <row r="763" customFormat="false" ht="15" hidden="false" customHeight="false" outlineLevel="0" collapsed="false">
      <c r="A763" s="65"/>
      <c r="B763" s="51"/>
      <c r="C763" s="51"/>
      <c r="D763" s="51"/>
      <c r="E763" s="60" t="str">
        <f aca="false">IF(D763="","",IFERROR(INDEX(Settings!$C$16:$C$45,MATCH(D763,Settings!$B$16:$B$45,0)),"Check category"))</f>
        <v/>
      </c>
      <c r="F763" s="76"/>
      <c r="G763" s="51"/>
      <c r="H763" s="51"/>
      <c r="I763" s="51"/>
      <c r="J763" s="51"/>
    </row>
    <row r="764" customFormat="false" ht="15" hidden="false" customHeight="false" outlineLevel="0" collapsed="false">
      <c r="A764" s="65"/>
      <c r="B764" s="51"/>
      <c r="C764" s="51"/>
      <c r="D764" s="51"/>
      <c r="E764" s="60" t="str">
        <f aca="false">IF(D764="","",IFERROR(INDEX(Settings!$C$16:$C$45,MATCH(D764,Settings!$B$16:$B$45,0)),"Check category"))</f>
        <v/>
      </c>
      <c r="F764" s="76"/>
      <c r="G764" s="51"/>
      <c r="H764" s="51"/>
      <c r="I764" s="51"/>
      <c r="J764" s="51"/>
    </row>
    <row r="765" customFormat="false" ht="15" hidden="false" customHeight="false" outlineLevel="0" collapsed="false">
      <c r="A765" s="65"/>
      <c r="B765" s="51"/>
      <c r="C765" s="51"/>
      <c r="D765" s="51"/>
      <c r="E765" s="60" t="str">
        <f aca="false">IF(D765="","",IFERROR(INDEX(Settings!$C$16:$C$45,MATCH(D765,Settings!$B$16:$B$45,0)),"Check category"))</f>
        <v/>
      </c>
      <c r="F765" s="76"/>
      <c r="G765" s="51"/>
      <c r="H765" s="51"/>
      <c r="I765" s="51"/>
      <c r="J765" s="51"/>
    </row>
    <row r="766" customFormat="false" ht="15" hidden="false" customHeight="false" outlineLevel="0" collapsed="false">
      <c r="A766" s="65"/>
      <c r="B766" s="51"/>
      <c r="C766" s="51"/>
      <c r="D766" s="51"/>
      <c r="E766" s="60" t="str">
        <f aca="false">IF(D766="","",IFERROR(INDEX(Settings!$C$16:$C$45,MATCH(D766,Settings!$B$16:$B$45,0)),"Check category"))</f>
        <v/>
      </c>
      <c r="F766" s="76"/>
      <c r="G766" s="51"/>
      <c r="H766" s="51"/>
      <c r="I766" s="51"/>
      <c r="J766" s="51"/>
    </row>
    <row r="767" customFormat="false" ht="15" hidden="false" customHeight="false" outlineLevel="0" collapsed="false">
      <c r="A767" s="65"/>
      <c r="B767" s="51"/>
      <c r="C767" s="51"/>
      <c r="D767" s="51"/>
      <c r="E767" s="60" t="str">
        <f aca="false">IF(D767="","",IFERROR(INDEX(Settings!$C$16:$C$45,MATCH(D767,Settings!$B$16:$B$45,0)),"Check category"))</f>
        <v/>
      </c>
      <c r="F767" s="76"/>
      <c r="G767" s="51"/>
      <c r="H767" s="51"/>
      <c r="I767" s="51"/>
      <c r="J767" s="51"/>
    </row>
    <row r="768" customFormat="false" ht="15" hidden="false" customHeight="false" outlineLevel="0" collapsed="false">
      <c r="A768" s="65"/>
      <c r="B768" s="51"/>
      <c r="C768" s="51"/>
      <c r="D768" s="51"/>
      <c r="E768" s="60" t="str">
        <f aca="false">IF(D768="","",IFERROR(INDEX(Settings!$C$16:$C$45,MATCH(D768,Settings!$B$16:$B$45,0)),"Check category"))</f>
        <v/>
      </c>
      <c r="F768" s="76"/>
      <c r="G768" s="51"/>
      <c r="H768" s="51"/>
      <c r="I768" s="51"/>
      <c r="J768" s="51"/>
    </row>
    <row r="769" customFormat="false" ht="15" hidden="false" customHeight="false" outlineLevel="0" collapsed="false">
      <c r="A769" s="65"/>
      <c r="B769" s="51"/>
      <c r="C769" s="51"/>
      <c r="D769" s="51"/>
      <c r="E769" s="60" t="str">
        <f aca="false">IF(D769="","",IFERROR(INDEX(Settings!$C$16:$C$45,MATCH(D769,Settings!$B$16:$B$45,0)),"Check category"))</f>
        <v/>
      </c>
      <c r="F769" s="76"/>
      <c r="G769" s="51"/>
      <c r="H769" s="51"/>
      <c r="I769" s="51"/>
      <c r="J769" s="51"/>
    </row>
    <row r="770" customFormat="false" ht="15" hidden="false" customHeight="false" outlineLevel="0" collapsed="false">
      <c r="A770" s="65"/>
      <c r="B770" s="51"/>
      <c r="C770" s="51"/>
      <c r="D770" s="51"/>
      <c r="E770" s="60" t="str">
        <f aca="false">IF(D770="","",IFERROR(INDEX(Settings!$C$16:$C$45,MATCH(D770,Settings!$B$16:$B$45,0)),"Check category"))</f>
        <v/>
      </c>
      <c r="F770" s="76"/>
      <c r="G770" s="51"/>
      <c r="H770" s="51"/>
      <c r="I770" s="51"/>
      <c r="J770" s="51"/>
    </row>
    <row r="771" customFormat="false" ht="15" hidden="false" customHeight="false" outlineLevel="0" collapsed="false">
      <c r="A771" s="65"/>
      <c r="B771" s="51"/>
      <c r="C771" s="51"/>
      <c r="D771" s="51"/>
      <c r="E771" s="60" t="str">
        <f aca="false">IF(D771="","",IFERROR(INDEX(Settings!$C$16:$C$45,MATCH(D771,Settings!$B$16:$B$45,0)),"Check category"))</f>
        <v/>
      </c>
      <c r="F771" s="76"/>
      <c r="G771" s="51"/>
      <c r="H771" s="51"/>
      <c r="I771" s="51"/>
      <c r="J771" s="51"/>
    </row>
    <row r="772" customFormat="false" ht="15" hidden="false" customHeight="false" outlineLevel="0" collapsed="false">
      <c r="A772" s="65"/>
      <c r="B772" s="51"/>
      <c r="C772" s="51"/>
      <c r="D772" s="51"/>
      <c r="E772" s="60" t="str">
        <f aca="false">IF(D772="","",IFERROR(INDEX(Settings!$C$16:$C$45,MATCH(D772,Settings!$B$16:$B$45,0)),"Check category"))</f>
        <v/>
      </c>
      <c r="F772" s="76"/>
      <c r="G772" s="51"/>
      <c r="H772" s="51"/>
      <c r="I772" s="51"/>
      <c r="J772" s="51"/>
    </row>
    <row r="773" customFormat="false" ht="15" hidden="false" customHeight="false" outlineLevel="0" collapsed="false">
      <c r="A773" s="65"/>
      <c r="B773" s="51"/>
      <c r="C773" s="51"/>
      <c r="D773" s="51"/>
      <c r="E773" s="60" t="str">
        <f aca="false">IF(D773="","",IFERROR(INDEX(Settings!$C$16:$C$45,MATCH(D773,Settings!$B$16:$B$45,0)),"Check category"))</f>
        <v/>
      </c>
      <c r="F773" s="76"/>
      <c r="G773" s="51"/>
      <c r="H773" s="51"/>
      <c r="I773" s="51"/>
      <c r="J773" s="51"/>
    </row>
    <row r="774" customFormat="false" ht="15" hidden="false" customHeight="false" outlineLevel="0" collapsed="false">
      <c r="A774" s="65"/>
      <c r="B774" s="51"/>
      <c r="C774" s="51"/>
      <c r="D774" s="51"/>
      <c r="E774" s="60" t="str">
        <f aca="false">IF(D774="","",IFERROR(INDEX(Settings!$C$16:$C$45,MATCH(D774,Settings!$B$16:$B$45,0)),"Check category"))</f>
        <v/>
      </c>
      <c r="F774" s="76"/>
      <c r="G774" s="51"/>
      <c r="H774" s="51"/>
      <c r="I774" s="51"/>
      <c r="J774" s="51"/>
    </row>
    <row r="775" customFormat="false" ht="15" hidden="false" customHeight="false" outlineLevel="0" collapsed="false">
      <c r="A775" s="65"/>
      <c r="B775" s="51"/>
      <c r="C775" s="51"/>
      <c r="D775" s="51"/>
      <c r="E775" s="60" t="str">
        <f aca="false">IF(D775="","",IFERROR(INDEX(Settings!$C$16:$C$45,MATCH(D775,Settings!$B$16:$B$45,0)),"Check category"))</f>
        <v/>
      </c>
      <c r="F775" s="76"/>
      <c r="G775" s="51"/>
      <c r="H775" s="51"/>
      <c r="I775" s="51"/>
      <c r="J775" s="51"/>
    </row>
    <row r="776" customFormat="false" ht="15" hidden="false" customHeight="false" outlineLevel="0" collapsed="false">
      <c r="A776" s="65"/>
      <c r="B776" s="51"/>
      <c r="C776" s="51"/>
      <c r="D776" s="51"/>
      <c r="E776" s="60" t="str">
        <f aca="false">IF(D776="","",IFERROR(INDEX(Settings!$C$16:$C$45,MATCH(D776,Settings!$B$16:$B$45,0)),"Check category"))</f>
        <v/>
      </c>
      <c r="F776" s="76"/>
      <c r="G776" s="51"/>
      <c r="H776" s="51"/>
      <c r="I776" s="51"/>
      <c r="J776" s="51"/>
    </row>
    <row r="777" customFormat="false" ht="15" hidden="false" customHeight="false" outlineLevel="0" collapsed="false">
      <c r="A777" s="65"/>
      <c r="B777" s="51"/>
      <c r="C777" s="51"/>
      <c r="D777" s="51"/>
      <c r="E777" s="60" t="str">
        <f aca="false">IF(D777="","",IFERROR(INDEX(Settings!$C$16:$C$45,MATCH(D777,Settings!$B$16:$B$45,0)),"Check category"))</f>
        <v/>
      </c>
      <c r="F777" s="76"/>
      <c r="G777" s="51"/>
      <c r="H777" s="51"/>
      <c r="I777" s="51"/>
      <c r="J777" s="51"/>
    </row>
    <row r="778" customFormat="false" ht="15" hidden="false" customHeight="false" outlineLevel="0" collapsed="false">
      <c r="A778" s="65"/>
      <c r="B778" s="51"/>
      <c r="C778" s="51"/>
      <c r="D778" s="51"/>
      <c r="E778" s="60" t="str">
        <f aca="false">IF(D778="","",IFERROR(INDEX(Settings!$C$16:$C$45,MATCH(D778,Settings!$B$16:$B$45,0)),"Check category"))</f>
        <v/>
      </c>
      <c r="F778" s="76"/>
      <c r="G778" s="51"/>
      <c r="H778" s="51"/>
      <c r="I778" s="51"/>
      <c r="J778" s="51"/>
    </row>
    <row r="779" customFormat="false" ht="15" hidden="false" customHeight="false" outlineLevel="0" collapsed="false">
      <c r="A779" s="65"/>
      <c r="B779" s="51"/>
      <c r="C779" s="51"/>
      <c r="D779" s="51"/>
      <c r="E779" s="60" t="str">
        <f aca="false">IF(D779="","",IFERROR(INDEX(Settings!$C$16:$C$45,MATCH(D779,Settings!$B$16:$B$45,0)),"Check category"))</f>
        <v/>
      </c>
      <c r="F779" s="76"/>
      <c r="G779" s="51"/>
      <c r="H779" s="51"/>
      <c r="I779" s="51"/>
      <c r="J779" s="51"/>
    </row>
    <row r="780" customFormat="false" ht="15" hidden="false" customHeight="false" outlineLevel="0" collapsed="false">
      <c r="A780" s="65"/>
      <c r="B780" s="51"/>
      <c r="C780" s="51"/>
      <c r="D780" s="51"/>
      <c r="E780" s="60" t="str">
        <f aca="false">IF(D780="","",IFERROR(INDEX(Settings!$C$16:$C$45,MATCH(D780,Settings!$B$16:$B$45,0)),"Check category"))</f>
        <v/>
      </c>
      <c r="F780" s="76"/>
      <c r="G780" s="51"/>
      <c r="H780" s="51"/>
      <c r="I780" s="51"/>
      <c r="J780" s="51"/>
    </row>
    <row r="781" customFormat="false" ht="15" hidden="false" customHeight="false" outlineLevel="0" collapsed="false">
      <c r="A781" s="65"/>
      <c r="B781" s="51"/>
      <c r="C781" s="51"/>
      <c r="D781" s="51"/>
      <c r="E781" s="60" t="str">
        <f aca="false">IF(D781="","",IFERROR(INDEX(Settings!$C$16:$C$45,MATCH(D781,Settings!$B$16:$B$45,0)),"Check category"))</f>
        <v/>
      </c>
      <c r="F781" s="76"/>
      <c r="G781" s="51"/>
      <c r="H781" s="51"/>
      <c r="I781" s="51"/>
      <c r="J781" s="51"/>
    </row>
    <row r="782" customFormat="false" ht="15" hidden="false" customHeight="false" outlineLevel="0" collapsed="false">
      <c r="A782" s="65"/>
      <c r="B782" s="51"/>
      <c r="C782" s="51"/>
      <c r="D782" s="51"/>
      <c r="E782" s="60" t="str">
        <f aca="false">IF(D782="","",IFERROR(INDEX(Settings!$C$16:$C$45,MATCH(D782,Settings!$B$16:$B$45,0)),"Check category"))</f>
        <v/>
      </c>
      <c r="F782" s="76"/>
      <c r="G782" s="51"/>
      <c r="H782" s="51"/>
      <c r="I782" s="51"/>
      <c r="J782" s="51"/>
    </row>
    <row r="783" customFormat="false" ht="15" hidden="false" customHeight="false" outlineLevel="0" collapsed="false">
      <c r="A783" s="65"/>
      <c r="B783" s="51"/>
      <c r="C783" s="51"/>
      <c r="D783" s="51"/>
      <c r="E783" s="60" t="str">
        <f aca="false">IF(D783="","",IFERROR(INDEX(Settings!$C$16:$C$45,MATCH(D783,Settings!$B$16:$B$45,0)),"Check category"))</f>
        <v/>
      </c>
      <c r="F783" s="76"/>
      <c r="G783" s="51"/>
      <c r="H783" s="51"/>
      <c r="I783" s="51"/>
      <c r="J783" s="51"/>
    </row>
    <row r="784" customFormat="false" ht="15" hidden="false" customHeight="false" outlineLevel="0" collapsed="false">
      <c r="A784" s="65"/>
      <c r="B784" s="51"/>
      <c r="C784" s="51"/>
      <c r="D784" s="51"/>
      <c r="E784" s="60" t="str">
        <f aca="false">IF(D784="","",IFERROR(INDEX(Settings!$C$16:$C$45,MATCH(D784,Settings!$B$16:$B$45,0)),"Check category"))</f>
        <v/>
      </c>
      <c r="F784" s="76"/>
      <c r="G784" s="51"/>
      <c r="H784" s="51"/>
      <c r="I784" s="51"/>
      <c r="J784" s="51"/>
    </row>
    <row r="785" customFormat="false" ht="15" hidden="false" customHeight="false" outlineLevel="0" collapsed="false">
      <c r="A785" s="65"/>
      <c r="B785" s="51"/>
      <c r="C785" s="51"/>
      <c r="D785" s="51"/>
      <c r="E785" s="60" t="str">
        <f aca="false">IF(D785="","",IFERROR(INDEX(Settings!$C$16:$C$45,MATCH(D785,Settings!$B$16:$B$45,0)),"Check category"))</f>
        <v/>
      </c>
      <c r="F785" s="76"/>
      <c r="G785" s="51"/>
      <c r="H785" s="51"/>
      <c r="I785" s="51"/>
      <c r="J785" s="51"/>
    </row>
    <row r="786" customFormat="false" ht="15" hidden="false" customHeight="false" outlineLevel="0" collapsed="false">
      <c r="A786" s="65"/>
      <c r="B786" s="51"/>
      <c r="C786" s="51"/>
      <c r="D786" s="51"/>
      <c r="E786" s="60" t="str">
        <f aca="false">IF(D786="","",IFERROR(INDEX(Settings!$C$16:$C$45,MATCH(D786,Settings!$B$16:$B$45,0)),"Check category"))</f>
        <v/>
      </c>
      <c r="F786" s="76"/>
      <c r="G786" s="51"/>
      <c r="H786" s="51"/>
      <c r="I786" s="51"/>
      <c r="J786" s="51"/>
    </row>
    <row r="787" customFormat="false" ht="15" hidden="false" customHeight="false" outlineLevel="0" collapsed="false">
      <c r="A787" s="65"/>
      <c r="B787" s="51"/>
      <c r="C787" s="51"/>
      <c r="D787" s="51"/>
      <c r="E787" s="60" t="str">
        <f aca="false">IF(D787="","",IFERROR(INDEX(Settings!$C$16:$C$45,MATCH(D787,Settings!$B$16:$B$45,0)),"Check category"))</f>
        <v/>
      </c>
      <c r="F787" s="76"/>
      <c r="G787" s="51"/>
      <c r="H787" s="51"/>
      <c r="I787" s="51"/>
      <c r="J787" s="51"/>
    </row>
    <row r="788" customFormat="false" ht="15" hidden="false" customHeight="false" outlineLevel="0" collapsed="false">
      <c r="A788" s="65"/>
      <c r="B788" s="51"/>
      <c r="C788" s="51"/>
      <c r="D788" s="51"/>
      <c r="E788" s="60" t="str">
        <f aca="false">IF(D788="","",IFERROR(INDEX(Settings!$C$16:$C$45,MATCH(D788,Settings!$B$16:$B$45,0)),"Check category"))</f>
        <v/>
      </c>
      <c r="F788" s="76"/>
      <c r="G788" s="51"/>
      <c r="H788" s="51"/>
      <c r="I788" s="51"/>
      <c r="J788" s="51"/>
    </row>
    <row r="789" customFormat="false" ht="15" hidden="false" customHeight="false" outlineLevel="0" collapsed="false">
      <c r="A789" s="65"/>
      <c r="B789" s="51"/>
      <c r="C789" s="51"/>
      <c r="D789" s="51"/>
      <c r="E789" s="60" t="str">
        <f aca="false">IF(D789="","",IFERROR(INDEX(Settings!$C$16:$C$45,MATCH(D789,Settings!$B$16:$B$45,0)),"Check category"))</f>
        <v/>
      </c>
      <c r="F789" s="76"/>
      <c r="G789" s="51"/>
      <c r="H789" s="51"/>
      <c r="I789" s="51"/>
      <c r="J789" s="51"/>
    </row>
    <row r="790" customFormat="false" ht="15" hidden="false" customHeight="false" outlineLevel="0" collapsed="false">
      <c r="A790" s="65"/>
      <c r="B790" s="51"/>
      <c r="C790" s="51"/>
      <c r="D790" s="51"/>
      <c r="E790" s="60" t="str">
        <f aca="false">IF(D790="","",IFERROR(INDEX(Settings!$C$16:$C$45,MATCH(D790,Settings!$B$16:$B$45,0)),"Check category"))</f>
        <v/>
      </c>
      <c r="F790" s="76"/>
      <c r="G790" s="51"/>
      <c r="H790" s="51"/>
      <c r="I790" s="51"/>
      <c r="J790" s="51"/>
    </row>
    <row r="791" customFormat="false" ht="15" hidden="false" customHeight="false" outlineLevel="0" collapsed="false">
      <c r="A791" s="65"/>
      <c r="B791" s="51"/>
      <c r="C791" s="51"/>
      <c r="D791" s="51"/>
      <c r="E791" s="60" t="str">
        <f aca="false">IF(D791="","",IFERROR(INDEX(Settings!$C$16:$C$45,MATCH(D791,Settings!$B$16:$B$45,0)),"Check category"))</f>
        <v/>
      </c>
      <c r="F791" s="76"/>
      <c r="G791" s="51"/>
      <c r="H791" s="51"/>
      <c r="I791" s="51"/>
      <c r="J791" s="51"/>
    </row>
    <row r="792" customFormat="false" ht="15" hidden="false" customHeight="false" outlineLevel="0" collapsed="false">
      <c r="A792" s="65"/>
      <c r="B792" s="51"/>
      <c r="C792" s="51"/>
      <c r="D792" s="51"/>
      <c r="E792" s="60" t="str">
        <f aca="false">IF(D792="","",IFERROR(INDEX(Settings!$C$16:$C$45,MATCH(D792,Settings!$B$16:$B$45,0)),"Check category"))</f>
        <v/>
      </c>
      <c r="F792" s="76"/>
      <c r="G792" s="51"/>
      <c r="H792" s="51"/>
      <c r="I792" s="51"/>
      <c r="J792" s="51"/>
    </row>
    <row r="793" customFormat="false" ht="15" hidden="false" customHeight="false" outlineLevel="0" collapsed="false">
      <c r="A793" s="65"/>
      <c r="B793" s="51"/>
      <c r="C793" s="51"/>
      <c r="D793" s="51"/>
      <c r="E793" s="60" t="str">
        <f aca="false">IF(D793="","",IFERROR(INDEX(Settings!$C$16:$C$45,MATCH(D793,Settings!$B$16:$B$45,0)),"Check category"))</f>
        <v/>
      </c>
      <c r="F793" s="76"/>
      <c r="G793" s="51"/>
      <c r="H793" s="51"/>
      <c r="I793" s="51"/>
      <c r="J793" s="51"/>
    </row>
    <row r="794" customFormat="false" ht="15" hidden="false" customHeight="false" outlineLevel="0" collapsed="false">
      <c r="A794" s="65"/>
      <c r="B794" s="51"/>
      <c r="C794" s="51"/>
      <c r="D794" s="51"/>
      <c r="E794" s="60" t="str">
        <f aca="false">IF(D794="","",IFERROR(INDEX(Settings!$C$16:$C$45,MATCH(D794,Settings!$B$16:$B$45,0)),"Check category"))</f>
        <v/>
      </c>
      <c r="F794" s="76"/>
      <c r="G794" s="51"/>
      <c r="H794" s="51"/>
      <c r="I794" s="51"/>
      <c r="J794" s="51"/>
    </row>
    <row r="795" customFormat="false" ht="15" hidden="false" customHeight="false" outlineLevel="0" collapsed="false">
      <c r="A795" s="65"/>
      <c r="B795" s="51"/>
      <c r="C795" s="51"/>
      <c r="D795" s="51"/>
      <c r="E795" s="60" t="str">
        <f aca="false">IF(D795="","",IFERROR(INDEX(Settings!$C$16:$C$45,MATCH(D795,Settings!$B$16:$B$45,0)),"Check category"))</f>
        <v/>
      </c>
      <c r="F795" s="76"/>
      <c r="G795" s="51"/>
      <c r="H795" s="51"/>
      <c r="I795" s="51"/>
      <c r="J795" s="51"/>
    </row>
    <row r="796" customFormat="false" ht="15" hidden="false" customHeight="false" outlineLevel="0" collapsed="false">
      <c r="A796" s="65"/>
      <c r="B796" s="51"/>
      <c r="C796" s="51"/>
      <c r="D796" s="51"/>
      <c r="E796" s="60" t="str">
        <f aca="false">IF(D796="","",IFERROR(INDEX(Settings!$C$16:$C$45,MATCH(D796,Settings!$B$16:$B$45,0)),"Check category"))</f>
        <v/>
      </c>
      <c r="F796" s="76"/>
      <c r="G796" s="51"/>
      <c r="H796" s="51"/>
      <c r="I796" s="51"/>
      <c r="J796" s="51"/>
    </row>
    <row r="797" customFormat="false" ht="15" hidden="false" customHeight="false" outlineLevel="0" collapsed="false">
      <c r="A797" s="65"/>
      <c r="B797" s="51"/>
      <c r="C797" s="51"/>
      <c r="D797" s="51"/>
      <c r="E797" s="60" t="str">
        <f aca="false">IF(D797="","",IFERROR(INDEX(Settings!$C$16:$C$45,MATCH(D797,Settings!$B$16:$B$45,0)),"Check category"))</f>
        <v/>
      </c>
      <c r="F797" s="76"/>
      <c r="G797" s="51"/>
      <c r="H797" s="51"/>
      <c r="I797" s="51"/>
      <c r="J797" s="51"/>
    </row>
    <row r="798" customFormat="false" ht="15" hidden="false" customHeight="false" outlineLevel="0" collapsed="false">
      <c r="A798" s="65"/>
      <c r="B798" s="51"/>
      <c r="C798" s="51"/>
      <c r="D798" s="51"/>
      <c r="E798" s="60" t="str">
        <f aca="false">IF(D798="","",IFERROR(INDEX(Settings!$C$16:$C$45,MATCH(D798,Settings!$B$16:$B$45,0)),"Check category"))</f>
        <v/>
      </c>
      <c r="F798" s="76"/>
      <c r="G798" s="51"/>
      <c r="H798" s="51"/>
      <c r="I798" s="51"/>
      <c r="J798" s="51"/>
    </row>
    <row r="799" customFormat="false" ht="15" hidden="false" customHeight="false" outlineLevel="0" collapsed="false">
      <c r="A799" s="65"/>
      <c r="B799" s="51"/>
      <c r="C799" s="51"/>
      <c r="D799" s="51"/>
      <c r="E799" s="60" t="str">
        <f aca="false">IF(D799="","",IFERROR(INDEX(Settings!$C$16:$C$45,MATCH(D799,Settings!$B$16:$B$45,0)),"Check category"))</f>
        <v/>
      </c>
      <c r="F799" s="76"/>
      <c r="G799" s="51"/>
      <c r="H799" s="51"/>
      <c r="I799" s="51"/>
      <c r="J799" s="51"/>
    </row>
    <row r="800" customFormat="false" ht="15" hidden="false" customHeight="false" outlineLevel="0" collapsed="false">
      <c r="A800" s="65"/>
      <c r="B800" s="51"/>
      <c r="C800" s="51"/>
      <c r="D800" s="51"/>
      <c r="E800" s="60" t="str">
        <f aca="false">IF(D800="","",IFERROR(INDEX(Settings!$C$16:$C$45,MATCH(D800,Settings!$B$16:$B$45,0)),"Check category"))</f>
        <v/>
      </c>
      <c r="F800" s="76"/>
      <c r="G800" s="51"/>
      <c r="H800" s="51"/>
      <c r="I800" s="51"/>
      <c r="J800" s="51"/>
    </row>
    <row r="801" customFormat="false" ht="15" hidden="false" customHeight="false" outlineLevel="0" collapsed="false">
      <c r="A801" s="65"/>
      <c r="B801" s="51"/>
      <c r="C801" s="51"/>
      <c r="D801" s="51"/>
      <c r="E801" s="60" t="str">
        <f aca="false">IF(D801="","",IFERROR(INDEX(Settings!$C$16:$C$45,MATCH(D801,Settings!$B$16:$B$45,0)),"Check category"))</f>
        <v/>
      </c>
      <c r="F801" s="76"/>
      <c r="G801" s="51"/>
      <c r="H801" s="51"/>
      <c r="I801" s="51"/>
      <c r="J801" s="51"/>
    </row>
    <row r="802" customFormat="false" ht="15" hidden="false" customHeight="false" outlineLevel="0" collapsed="false">
      <c r="A802" s="65"/>
      <c r="B802" s="51"/>
      <c r="C802" s="51"/>
      <c r="D802" s="51"/>
      <c r="E802" s="60" t="str">
        <f aca="false">IF(D802="","",IFERROR(INDEX(Settings!$C$16:$C$45,MATCH(D802,Settings!$B$16:$B$45,0)),"Check category"))</f>
        <v/>
      </c>
      <c r="F802" s="76"/>
      <c r="G802" s="51"/>
      <c r="H802" s="51"/>
      <c r="I802" s="51"/>
      <c r="J802" s="51"/>
    </row>
    <row r="803" customFormat="false" ht="15" hidden="false" customHeight="false" outlineLevel="0" collapsed="false">
      <c r="A803" s="65"/>
      <c r="B803" s="51"/>
      <c r="C803" s="51"/>
      <c r="D803" s="51"/>
      <c r="E803" s="60" t="str">
        <f aca="false">IF(D803="","",IFERROR(INDEX(Settings!$C$16:$C$45,MATCH(D803,Settings!$B$16:$B$45,0)),"Check category"))</f>
        <v/>
      </c>
      <c r="F803" s="76"/>
      <c r="G803" s="51"/>
      <c r="H803" s="51"/>
      <c r="I803" s="51"/>
      <c r="J803" s="51"/>
    </row>
    <row r="804" customFormat="false" ht="15" hidden="false" customHeight="false" outlineLevel="0" collapsed="false">
      <c r="A804" s="65"/>
      <c r="B804" s="51"/>
      <c r="C804" s="51"/>
      <c r="D804" s="51"/>
      <c r="E804" s="60" t="str">
        <f aca="false">IF(D804="","",IFERROR(INDEX(Settings!$C$16:$C$45,MATCH(D804,Settings!$B$16:$B$45,0)),"Check category"))</f>
        <v/>
      </c>
      <c r="F804" s="76"/>
      <c r="G804" s="51"/>
      <c r="H804" s="51"/>
      <c r="I804" s="51"/>
      <c r="J804" s="51"/>
    </row>
    <row r="805" customFormat="false" ht="15" hidden="false" customHeight="false" outlineLevel="0" collapsed="false">
      <c r="A805" s="65"/>
      <c r="B805" s="51"/>
      <c r="C805" s="51"/>
      <c r="D805" s="51"/>
      <c r="E805" s="60" t="str">
        <f aca="false">IF(D805="","",IFERROR(INDEX(Settings!$C$16:$C$45,MATCH(D805,Settings!$B$16:$B$45,0)),"Check category"))</f>
        <v/>
      </c>
      <c r="F805" s="76"/>
      <c r="G805" s="51"/>
      <c r="H805" s="51"/>
      <c r="I805" s="51"/>
      <c r="J805" s="51"/>
    </row>
  </sheetData>
  <conditionalFormatting sqref="H6:H805">
    <cfRule type="expression" priority="2" aboveAverage="0" equalAverage="0" bottom="0" percent="0" rank="0" text="" dxfId="0">
      <formula>H6="No"</formula>
    </cfRule>
  </conditionalFormatting>
  <conditionalFormatting sqref="E6:E805">
    <cfRule type="expression" priority="3" aboveAverage="0" equalAverage="0" bottom="0" percent="0" rank="0" text="" dxfId="0">
      <formula>E6="Check category"</formula>
    </cfRule>
  </conditionalFormatting>
  <dataValidations count="4">
    <dataValidation allowBlank="true" errorStyle="stop" operator="between" showDropDown="false" showErrorMessage="false" showInputMessage="false" sqref="D6:D805" type="list">
      <formula1>Settings!$B$16:$B$45</formula1>
      <formula2>0</formula2>
    </dataValidation>
    <dataValidation allowBlank="true" errorStyle="stop" operator="between" showDropDown="false" showErrorMessage="false" showInputMessage="false" sqref="G6:G805" type="list">
      <formula1>Settings!$I$16:$I$21</formula1>
      <formula2>0</formula2>
    </dataValidation>
    <dataValidation allowBlank="true" errorStyle="stop" operator="between" showDropDown="false" showErrorMessage="false" showInputMessage="false" sqref="H6:H805" type="list">
      <formula1>"Yes,No"</formula1>
      <formula2>0</formula2>
    </dataValidation>
    <dataValidation allowBlank="true" errorStyle="stop" operator="between" showDropDown="false" showErrorMessage="false" showInputMessage="false" sqref="I6:I805" type="list">
      <formula1>Settings!$O$17:$O$36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O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3" min="2" style="0" width="11"/>
    <col collapsed="false" customWidth="true" hidden="false" outlineLevel="0" max="14" min="14" style="0" width="13"/>
    <col collapsed="false" customWidth="true" hidden="false" outlineLevel="0" max="15" min="15" style="0" width="11"/>
  </cols>
  <sheetData>
    <row r="1" customFormat="false" ht="22.05" hidden="false" customHeight="false" outlineLevel="0" collapsed="false">
      <c r="A1" s="48" t="s">
        <v>408</v>
      </c>
    </row>
    <row r="2" customFormat="false" ht="15" hidden="false" customHeight="false" outlineLevel="0" collapsed="false">
      <c r="A2" s="49" t="s">
        <v>409</v>
      </c>
    </row>
    <row r="3" customFormat="false" ht="15" hidden="false" customHeight="false" outlineLevel="0" collapsed="false">
      <c r="A3" s="79" t="str">
        <f aca="false">"Revenue counted when "&amp;IF(Settings!$C$11="Paid","PAID (cash basis)","INVOICED (accrual basis)")&amp;". Change it on Settings."</f>
        <v>Revenue counted when PAID (cash basis). Change it on Settings.</v>
      </c>
    </row>
    <row r="5" customFormat="false" ht="30" hidden="false" customHeight="true" outlineLevel="0" collapsed="false">
      <c r="A5" s="56"/>
      <c r="B5" s="80" t="n">
        <f aca="false">DATE(Settings!$C$5,1,1)</f>
        <v>46023</v>
      </c>
      <c r="C5" s="80" t="n">
        <f aca="false">DATE(Settings!$C$5,2,1)</f>
        <v>46054</v>
      </c>
      <c r="D5" s="80" t="n">
        <f aca="false">DATE(Settings!$C$5,3,1)</f>
        <v>46082</v>
      </c>
      <c r="E5" s="80" t="n">
        <f aca="false">DATE(Settings!$C$5,4,1)</f>
        <v>46113</v>
      </c>
      <c r="F5" s="80" t="n">
        <f aca="false">DATE(Settings!$C$5,5,1)</f>
        <v>46143</v>
      </c>
      <c r="G5" s="80" t="n">
        <f aca="false">DATE(Settings!$C$5,6,1)</f>
        <v>46174</v>
      </c>
      <c r="H5" s="80" t="n">
        <f aca="false">DATE(Settings!$C$5,7,1)</f>
        <v>46204</v>
      </c>
      <c r="I5" s="80" t="n">
        <f aca="false">DATE(Settings!$C$5,8,1)</f>
        <v>46235</v>
      </c>
      <c r="J5" s="80" t="n">
        <f aca="false">DATE(Settings!$C$5,9,1)</f>
        <v>46266</v>
      </c>
      <c r="K5" s="80" t="n">
        <f aca="false">DATE(Settings!$C$5,10,1)</f>
        <v>46296</v>
      </c>
      <c r="L5" s="80" t="n">
        <f aca="false">DATE(Settings!$C$5,11,1)</f>
        <v>46327</v>
      </c>
      <c r="M5" s="80" t="n">
        <f aca="false">DATE(Settings!$C$5,12,1)</f>
        <v>46357</v>
      </c>
      <c r="N5" s="57" t="s">
        <v>410</v>
      </c>
      <c r="O5" s="57" t="s">
        <v>411</v>
      </c>
    </row>
    <row r="6" customFormat="false" ht="15" hidden="false" customHeight="false" outlineLevel="0" collapsed="false">
      <c r="A6" s="28" t="s">
        <v>412</v>
      </c>
      <c r="B6" s="6"/>
      <c r="C6" s="6"/>
      <c r="D6" s="6"/>
      <c r="E6" s="6"/>
      <c r="F6" s="6"/>
      <c r="G6" s="6"/>
      <c r="H6" s="6"/>
      <c r="I6" s="6"/>
      <c r="J6" s="6"/>
      <c r="K6" s="6"/>
      <c r="L6" s="6"/>
      <c r="M6" s="6"/>
      <c r="N6" s="6"/>
      <c r="O6" s="6"/>
    </row>
    <row r="7" customFormat="false" ht="15" hidden="false" customHeight="false" outlineLevel="0" collapsed="false">
      <c r="A7" s="78" t="str">
        <f aca="false">IF(Clients!B6="","",Clients!B6)</f>
        <v>Copperline HVAC</v>
      </c>
      <c r="B7" s="35" t="n">
        <f aca="false">IF($A7="","",IF(Settings!$C$11="Paid",SUMIFS(Invoices!$I$6:$I$505,Invoices!$C$6:$C$505,$A7,Invoices!$H$6:$H$505,"&gt;="&amp;B$5,Invoices!$H$6:$H$505,"&lt;="&amp;EOMONTH(B$5,0)),SUMIFS(Invoices!$E$6:$E$505,Invoices!$C$6:$C$505,$A7,Invoices!$B$6:$B$505,"&gt;="&amp;B$5,Invoices!$B$6:$B$505,"&lt;="&amp;EOMONTH(B$5,0))))</f>
        <v>3500</v>
      </c>
      <c r="C7" s="35" t="n">
        <f aca="false">IF($A7="","",IF(Settings!$C$11="Paid",SUMIFS(Invoices!$I$6:$I$505,Invoices!$C$6:$C$505,$A7,Invoices!$H$6:$H$505,"&gt;="&amp;C$5,Invoices!$H$6:$H$505,"&lt;="&amp;EOMONTH(C$5,0)),SUMIFS(Invoices!$E$6:$E$505,Invoices!$C$6:$C$505,$A7,Invoices!$B$6:$B$505,"&gt;="&amp;C$5,Invoices!$B$6:$B$505,"&lt;="&amp;EOMONTH(C$5,0))))</f>
        <v>3500</v>
      </c>
      <c r="D7" s="35" t="n">
        <f aca="false">IF($A7="","",IF(Settings!$C$11="Paid",SUMIFS(Invoices!$I$6:$I$505,Invoices!$C$6:$C$505,$A7,Invoices!$H$6:$H$505,"&gt;="&amp;D$5,Invoices!$H$6:$H$505,"&lt;="&amp;EOMONTH(D$5,0)),SUMIFS(Invoices!$E$6:$E$505,Invoices!$C$6:$C$505,$A7,Invoices!$B$6:$B$505,"&gt;="&amp;D$5,Invoices!$B$6:$B$505,"&lt;="&amp;EOMONTH(D$5,0))))</f>
        <v>3500</v>
      </c>
      <c r="E7" s="35" t="n">
        <f aca="false">IF($A7="","",IF(Settings!$C$11="Paid",SUMIFS(Invoices!$I$6:$I$505,Invoices!$C$6:$C$505,$A7,Invoices!$H$6:$H$505,"&gt;="&amp;E$5,Invoices!$H$6:$H$505,"&lt;="&amp;EOMONTH(E$5,0)),SUMIFS(Invoices!$E$6:$E$505,Invoices!$C$6:$C$505,$A7,Invoices!$B$6:$B$505,"&gt;="&amp;E$5,Invoices!$B$6:$B$505,"&lt;="&amp;EOMONTH(E$5,0))))</f>
        <v>3500</v>
      </c>
      <c r="F7" s="35" t="n">
        <f aca="false">IF($A7="","",IF(Settings!$C$11="Paid",SUMIFS(Invoices!$I$6:$I$505,Invoices!$C$6:$C$505,$A7,Invoices!$H$6:$H$505,"&gt;="&amp;F$5,Invoices!$H$6:$H$505,"&lt;="&amp;EOMONTH(F$5,0)),SUMIFS(Invoices!$E$6:$E$505,Invoices!$C$6:$C$505,$A7,Invoices!$B$6:$B$505,"&gt;="&amp;F$5,Invoices!$B$6:$B$505,"&lt;="&amp;EOMONTH(F$5,0))))</f>
        <v>3500</v>
      </c>
      <c r="G7" s="35" t="n">
        <f aca="false">IF($A7="","",IF(Settings!$C$11="Paid",SUMIFS(Invoices!$I$6:$I$505,Invoices!$C$6:$C$505,$A7,Invoices!$H$6:$H$505,"&gt;="&amp;G$5,Invoices!$H$6:$H$505,"&lt;="&amp;EOMONTH(G$5,0)),SUMIFS(Invoices!$E$6:$E$505,Invoices!$C$6:$C$505,$A7,Invoices!$B$6:$B$505,"&gt;="&amp;G$5,Invoices!$B$6:$B$505,"&lt;="&amp;EOMONTH(G$5,0))))</f>
        <v>3500</v>
      </c>
      <c r="H7" s="35" t="n">
        <f aca="false">IF($A7="","",IF(Settings!$C$11="Paid",SUMIFS(Invoices!$I$6:$I$505,Invoices!$C$6:$C$505,$A7,Invoices!$H$6:$H$505,"&gt;="&amp;H$5,Invoices!$H$6:$H$505,"&lt;="&amp;EOMONTH(H$5,0)),SUMIFS(Invoices!$E$6:$E$505,Invoices!$C$6:$C$505,$A7,Invoices!$B$6:$B$505,"&gt;="&amp;H$5,Invoices!$B$6:$B$505,"&lt;="&amp;EOMONTH(H$5,0))))</f>
        <v>3500</v>
      </c>
      <c r="I7" s="35" t="n">
        <f aca="false">IF($A7="","",IF(Settings!$C$11="Paid",SUMIFS(Invoices!$I$6:$I$505,Invoices!$C$6:$C$505,$A7,Invoices!$H$6:$H$505,"&gt;="&amp;I$5,Invoices!$H$6:$H$505,"&lt;="&amp;EOMONTH(I$5,0)),SUMIFS(Invoices!$E$6:$E$505,Invoices!$C$6:$C$505,$A7,Invoices!$B$6:$B$505,"&gt;="&amp;I$5,Invoices!$B$6:$B$505,"&lt;="&amp;EOMONTH(I$5,0))))</f>
        <v>3500</v>
      </c>
      <c r="J7" s="35" t="n">
        <f aca="false">IF($A7="","",IF(Settings!$C$11="Paid",SUMIFS(Invoices!$I$6:$I$505,Invoices!$C$6:$C$505,$A7,Invoices!$H$6:$H$505,"&gt;="&amp;J$5,Invoices!$H$6:$H$505,"&lt;="&amp;EOMONTH(J$5,0)),SUMIFS(Invoices!$E$6:$E$505,Invoices!$C$6:$C$505,$A7,Invoices!$B$6:$B$505,"&gt;="&amp;J$5,Invoices!$B$6:$B$505,"&lt;="&amp;EOMONTH(J$5,0))))</f>
        <v>3500</v>
      </c>
      <c r="K7" s="35" t="n">
        <f aca="false">IF($A7="","",IF(Settings!$C$11="Paid",SUMIFS(Invoices!$I$6:$I$505,Invoices!$C$6:$C$505,$A7,Invoices!$H$6:$H$505,"&gt;="&amp;K$5,Invoices!$H$6:$H$505,"&lt;="&amp;EOMONTH(K$5,0)),SUMIFS(Invoices!$E$6:$E$505,Invoices!$C$6:$C$505,$A7,Invoices!$B$6:$B$505,"&gt;="&amp;K$5,Invoices!$B$6:$B$505,"&lt;="&amp;EOMONTH(K$5,0))))</f>
        <v>3500</v>
      </c>
      <c r="L7" s="35" t="n">
        <f aca="false">IF($A7="","",IF(Settings!$C$11="Paid",SUMIFS(Invoices!$I$6:$I$505,Invoices!$C$6:$C$505,$A7,Invoices!$H$6:$H$505,"&gt;="&amp;L$5,Invoices!$H$6:$H$505,"&lt;="&amp;EOMONTH(L$5,0)),SUMIFS(Invoices!$E$6:$E$505,Invoices!$C$6:$C$505,$A7,Invoices!$B$6:$B$505,"&gt;="&amp;L$5,Invoices!$B$6:$B$505,"&lt;="&amp;EOMONTH(L$5,0))))</f>
        <v>0</v>
      </c>
      <c r="M7" s="35" t="n">
        <f aca="false">IF($A7="","",IF(Settings!$C$11="Paid",SUMIFS(Invoices!$I$6:$I$505,Invoices!$C$6:$C$505,$A7,Invoices!$H$6:$H$505,"&gt;="&amp;M$5,Invoices!$H$6:$H$505,"&lt;="&amp;EOMONTH(M$5,0)),SUMIFS(Invoices!$E$6:$E$505,Invoices!$C$6:$C$505,$A7,Invoices!$B$6:$B$505,"&gt;="&amp;M$5,Invoices!$B$6:$B$505,"&lt;="&amp;EOMONTH(M$5,0))))</f>
        <v>0</v>
      </c>
      <c r="N7" s="55" t="n">
        <f aca="false">IF($A7="","",SUM(B7:M7))</f>
        <v>35000</v>
      </c>
      <c r="O7" s="37" t="n">
        <f aca="false">IF(OR($A7="",N($N$28)=0),"",N7/$N$28)</f>
        <v>0.305010893246187</v>
      </c>
    </row>
    <row r="8" customFormat="false" ht="15" hidden="false" customHeight="false" outlineLevel="0" collapsed="false">
      <c r="A8" s="78" t="str">
        <f aca="false">IF(Clients!B7="","",Clients!B7)</f>
        <v>Northstar Pet Resort</v>
      </c>
      <c r="B8" s="35" t="n">
        <f aca="false">IF($A8="","",IF(Settings!$C$11="Paid",SUMIFS(Invoices!$I$6:$I$505,Invoices!$C$6:$C$505,$A8,Invoices!$H$6:$H$505,"&gt;="&amp;B$5,Invoices!$H$6:$H$505,"&lt;="&amp;EOMONTH(B$5,0)),SUMIFS(Invoices!$E$6:$E$505,Invoices!$C$6:$C$505,$A8,Invoices!$B$6:$B$505,"&gt;="&amp;B$5,Invoices!$B$6:$B$505,"&lt;="&amp;EOMONTH(B$5,0))))</f>
        <v>0</v>
      </c>
      <c r="C8" s="35" t="n">
        <f aca="false">IF($A8="","",IF(Settings!$C$11="Paid",SUMIFS(Invoices!$I$6:$I$505,Invoices!$C$6:$C$505,$A8,Invoices!$H$6:$H$505,"&gt;="&amp;C$5,Invoices!$H$6:$H$505,"&lt;="&amp;EOMONTH(C$5,0)),SUMIFS(Invoices!$E$6:$E$505,Invoices!$C$6:$C$505,$A8,Invoices!$B$6:$B$505,"&gt;="&amp;C$5,Invoices!$B$6:$B$505,"&lt;="&amp;EOMONTH(C$5,0))))</f>
        <v>3375</v>
      </c>
      <c r="D8" s="35" t="n">
        <f aca="false">IF($A8="","",IF(Settings!$C$11="Paid",SUMIFS(Invoices!$I$6:$I$505,Invoices!$C$6:$C$505,$A8,Invoices!$H$6:$H$505,"&gt;="&amp;D$5,Invoices!$H$6:$H$505,"&lt;="&amp;EOMONTH(D$5,0)),SUMIFS(Invoices!$E$6:$E$505,Invoices!$C$6:$C$505,$A8,Invoices!$B$6:$B$505,"&gt;="&amp;D$5,Invoices!$B$6:$B$505,"&lt;="&amp;EOMONTH(D$5,0))))</f>
        <v>2750</v>
      </c>
      <c r="E8" s="35" t="n">
        <f aca="false">IF($A8="","",IF(Settings!$C$11="Paid",SUMIFS(Invoices!$I$6:$I$505,Invoices!$C$6:$C$505,$A8,Invoices!$H$6:$H$505,"&gt;="&amp;E$5,Invoices!$H$6:$H$505,"&lt;="&amp;EOMONTH(E$5,0)),SUMIFS(Invoices!$E$6:$E$505,Invoices!$C$6:$C$505,$A8,Invoices!$B$6:$B$505,"&gt;="&amp;E$5,Invoices!$B$6:$B$505,"&lt;="&amp;EOMONTH(E$5,0))))</f>
        <v>2750</v>
      </c>
      <c r="F8" s="35" t="n">
        <f aca="false">IF($A8="","",IF(Settings!$C$11="Paid",SUMIFS(Invoices!$I$6:$I$505,Invoices!$C$6:$C$505,$A8,Invoices!$H$6:$H$505,"&gt;="&amp;F$5,Invoices!$H$6:$H$505,"&lt;="&amp;EOMONTH(F$5,0)),SUMIFS(Invoices!$E$6:$E$505,Invoices!$C$6:$C$505,$A8,Invoices!$B$6:$B$505,"&gt;="&amp;F$5,Invoices!$B$6:$B$505,"&lt;="&amp;EOMONTH(F$5,0))))</f>
        <v>2687.5</v>
      </c>
      <c r="G8" s="35" t="n">
        <f aca="false">IF($A8="","",IF(Settings!$C$11="Paid",SUMIFS(Invoices!$I$6:$I$505,Invoices!$C$6:$C$505,$A8,Invoices!$H$6:$H$505,"&gt;="&amp;G$5,Invoices!$H$6:$H$505,"&lt;="&amp;EOMONTH(G$5,0)),SUMIFS(Invoices!$E$6:$E$505,Invoices!$C$6:$C$505,$A8,Invoices!$B$6:$B$505,"&gt;="&amp;G$5,Invoices!$B$6:$B$505,"&lt;="&amp;EOMONTH(G$5,0))))</f>
        <v>3312.5</v>
      </c>
      <c r="H8" s="35" t="n">
        <f aca="false">IF($A8="","",IF(Settings!$C$11="Paid",SUMIFS(Invoices!$I$6:$I$505,Invoices!$C$6:$C$505,$A8,Invoices!$H$6:$H$505,"&gt;="&amp;H$5,Invoices!$H$6:$H$505,"&lt;="&amp;EOMONTH(H$5,0)),SUMIFS(Invoices!$E$6:$E$505,Invoices!$C$6:$C$505,$A8,Invoices!$B$6:$B$505,"&gt;="&amp;H$5,Invoices!$B$6:$B$505,"&lt;="&amp;EOMONTH(H$5,0))))</f>
        <v>2031.25</v>
      </c>
      <c r="I8" s="35" t="n">
        <f aca="false">IF($A8="","",IF(Settings!$C$11="Paid",SUMIFS(Invoices!$I$6:$I$505,Invoices!$C$6:$C$505,$A8,Invoices!$H$6:$H$505,"&gt;="&amp;I$5,Invoices!$H$6:$H$505,"&lt;="&amp;EOMONTH(I$5,0)),SUMIFS(Invoices!$E$6:$E$505,Invoices!$C$6:$C$505,$A8,Invoices!$B$6:$B$505,"&gt;="&amp;I$5,Invoices!$B$6:$B$505,"&lt;="&amp;EOMONTH(I$5,0))))</f>
        <v>3187.5</v>
      </c>
      <c r="J8" s="35" t="n">
        <f aca="false">IF($A8="","",IF(Settings!$C$11="Paid",SUMIFS(Invoices!$I$6:$I$505,Invoices!$C$6:$C$505,$A8,Invoices!$H$6:$H$505,"&gt;="&amp;J$5,Invoices!$H$6:$H$505,"&lt;="&amp;EOMONTH(J$5,0)),SUMIFS(Invoices!$E$6:$E$505,Invoices!$C$6:$C$505,$A8,Invoices!$B$6:$B$505,"&gt;="&amp;J$5,Invoices!$B$6:$B$505,"&lt;="&amp;EOMONTH(J$5,0))))</f>
        <v>2531.25</v>
      </c>
      <c r="K8" s="35" t="n">
        <f aca="false">IF($A8="","",IF(Settings!$C$11="Paid",SUMIFS(Invoices!$I$6:$I$505,Invoices!$C$6:$C$505,$A8,Invoices!$H$6:$H$505,"&gt;="&amp;K$5,Invoices!$H$6:$H$505,"&lt;="&amp;EOMONTH(K$5,0)),SUMIFS(Invoices!$E$6:$E$505,Invoices!$C$6:$C$505,$A8,Invoices!$B$6:$B$505,"&gt;="&amp;K$5,Invoices!$B$6:$B$505,"&lt;="&amp;EOMONTH(K$5,0))))</f>
        <v>0</v>
      </c>
      <c r="L8" s="35" t="n">
        <f aca="false">IF($A8="","",IF(Settings!$C$11="Paid",SUMIFS(Invoices!$I$6:$I$505,Invoices!$C$6:$C$505,$A8,Invoices!$H$6:$H$505,"&gt;="&amp;L$5,Invoices!$H$6:$H$505,"&lt;="&amp;EOMONTH(L$5,0)),SUMIFS(Invoices!$E$6:$E$505,Invoices!$C$6:$C$505,$A8,Invoices!$B$6:$B$505,"&gt;="&amp;L$5,Invoices!$B$6:$B$505,"&lt;="&amp;EOMONTH(L$5,0))))</f>
        <v>0</v>
      </c>
      <c r="M8" s="35" t="n">
        <f aca="false">IF($A8="","",IF(Settings!$C$11="Paid",SUMIFS(Invoices!$I$6:$I$505,Invoices!$C$6:$C$505,$A8,Invoices!$H$6:$H$505,"&gt;="&amp;M$5,Invoices!$H$6:$H$505,"&lt;="&amp;EOMONTH(M$5,0)),SUMIFS(Invoices!$E$6:$E$505,Invoices!$C$6:$C$505,$A8,Invoices!$B$6:$B$505,"&gt;="&amp;M$5,Invoices!$B$6:$B$505,"&lt;="&amp;EOMONTH(M$5,0))))</f>
        <v>0</v>
      </c>
      <c r="N8" s="55" t="n">
        <f aca="false">IF($A8="","",SUM(B8:M8))</f>
        <v>22625</v>
      </c>
      <c r="O8" s="37" t="n">
        <f aca="false">IF(OR($A8="",N($N$28)=0),"",N8/$N$28)</f>
        <v>0.197167755991285</v>
      </c>
    </row>
    <row r="9" customFormat="false" ht="15" hidden="false" customHeight="false" outlineLevel="0" collapsed="false">
      <c r="A9" s="78" t="str">
        <f aca="false">IF(Clients!B8="","",Clients!B8)</f>
        <v>Maple Lane Realty</v>
      </c>
      <c r="B9" s="35" t="n">
        <f aca="false">IF($A9="","",IF(Settings!$C$11="Paid",SUMIFS(Invoices!$I$6:$I$505,Invoices!$C$6:$C$505,$A9,Invoices!$H$6:$H$505,"&gt;="&amp;B$5,Invoices!$H$6:$H$505,"&lt;="&amp;EOMONTH(B$5,0)),SUMIFS(Invoices!$E$6:$E$505,Invoices!$C$6:$C$505,$A9,Invoices!$B$6:$B$505,"&gt;="&amp;B$5,Invoices!$B$6:$B$505,"&lt;="&amp;EOMONTH(B$5,0))))</f>
        <v>0</v>
      </c>
      <c r="C9" s="35" t="n">
        <f aca="false">IF($A9="","",IF(Settings!$C$11="Paid",SUMIFS(Invoices!$I$6:$I$505,Invoices!$C$6:$C$505,$A9,Invoices!$H$6:$H$505,"&gt;="&amp;C$5,Invoices!$H$6:$H$505,"&lt;="&amp;EOMONTH(C$5,0)),SUMIFS(Invoices!$E$6:$E$505,Invoices!$C$6:$C$505,$A9,Invoices!$B$6:$B$505,"&gt;="&amp;C$5,Invoices!$B$6:$B$505,"&lt;="&amp;EOMONTH(C$5,0))))</f>
        <v>0</v>
      </c>
      <c r="D9" s="35" t="n">
        <f aca="false">IF($A9="","",IF(Settings!$C$11="Paid",SUMIFS(Invoices!$I$6:$I$505,Invoices!$C$6:$C$505,$A9,Invoices!$H$6:$H$505,"&gt;="&amp;D$5,Invoices!$H$6:$H$505,"&lt;="&amp;EOMONTH(D$5,0)),SUMIFS(Invoices!$E$6:$E$505,Invoices!$C$6:$C$505,$A9,Invoices!$B$6:$B$505,"&gt;="&amp;D$5,Invoices!$B$6:$B$505,"&lt;="&amp;EOMONTH(D$5,0))))</f>
        <v>1552.5</v>
      </c>
      <c r="E9" s="35" t="n">
        <f aca="false">IF($A9="","",IF(Settings!$C$11="Paid",SUMIFS(Invoices!$I$6:$I$505,Invoices!$C$6:$C$505,$A9,Invoices!$H$6:$H$505,"&gt;="&amp;E$5,Invoices!$H$6:$H$505,"&lt;="&amp;EOMONTH(E$5,0)),SUMIFS(Invoices!$E$6:$E$505,Invoices!$C$6:$C$505,$A9,Invoices!$B$6:$B$505,"&gt;="&amp;E$5,Invoices!$B$6:$B$505,"&lt;="&amp;EOMONTH(E$5,0))))</f>
        <v>0</v>
      </c>
      <c r="F9" s="35" t="n">
        <f aca="false">IF($A9="","",IF(Settings!$C$11="Paid",SUMIFS(Invoices!$I$6:$I$505,Invoices!$C$6:$C$505,$A9,Invoices!$H$6:$H$505,"&gt;="&amp;F$5,Invoices!$H$6:$H$505,"&lt;="&amp;EOMONTH(F$5,0)),SUMIFS(Invoices!$E$6:$E$505,Invoices!$C$6:$C$505,$A9,Invoices!$B$6:$B$505,"&gt;="&amp;F$5,Invoices!$B$6:$B$505,"&lt;="&amp;EOMONTH(F$5,0))))</f>
        <v>2160</v>
      </c>
      <c r="G9" s="35" t="n">
        <f aca="false">IF($A9="","",IF(Settings!$C$11="Paid",SUMIFS(Invoices!$I$6:$I$505,Invoices!$C$6:$C$505,$A9,Invoices!$H$6:$H$505,"&gt;="&amp;G$5,Invoices!$H$6:$H$505,"&lt;="&amp;EOMONTH(G$5,0)),SUMIFS(Invoices!$E$6:$E$505,Invoices!$C$6:$C$505,$A9,Invoices!$B$6:$B$505,"&gt;="&amp;G$5,Invoices!$B$6:$B$505,"&lt;="&amp;EOMONTH(G$5,0))))</f>
        <v>1991.25</v>
      </c>
      <c r="H9" s="35" t="n">
        <f aca="false">IF($A9="","",IF(Settings!$C$11="Paid",SUMIFS(Invoices!$I$6:$I$505,Invoices!$C$6:$C$505,$A9,Invoices!$H$6:$H$505,"&gt;="&amp;H$5,Invoices!$H$6:$H$505,"&lt;="&amp;EOMONTH(H$5,0)),SUMIFS(Invoices!$E$6:$E$505,Invoices!$C$6:$C$505,$A9,Invoices!$B$6:$B$505,"&gt;="&amp;H$5,Invoices!$B$6:$B$505,"&lt;="&amp;EOMONTH(H$5,0))))</f>
        <v>2936.25</v>
      </c>
      <c r="I9" s="35" t="n">
        <f aca="false">IF($A9="","",IF(Settings!$C$11="Paid",SUMIFS(Invoices!$I$6:$I$505,Invoices!$C$6:$C$505,$A9,Invoices!$H$6:$H$505,"&gt;="&amp;I$5,Invoices!$H$6:$H$505,"&lt;="&amp;EOMONTH(I$5,0)),SUMIFS(Invoices!$E$6:$E$505,Invoices!$C$6:$C$505,$A9,Invoices!$B$6:$B$505,"&gt;="&amp;I$5,Invoices!$B$6:$B$505,"&lt;="&amp;EOMONTH(I$5,0))))</f>
        <v>2396.25</v>
      </c>
      <c r="J9" s="35" t="n">
        <f aca="false">IF($A9="","",IF(Settings!$C$11="Paid",SUMIFS(Invoices!$I$6:$I$505,Invoices!$C$6:$C$505,$A9,Invoices!$H$6:$H$505,"&gt;="&amp;J$5,Invoices!$H$6:$H$505,"&lt;="&amp;EOMONTH(J$5,0)),SUMIFS(Invoices!$E$6:$E$505,Invoices!$C$6:$C$505,$A9,Invoices!$B$6:$B$505,"&gt;="&amp;J$5,Invoices!$B$6:$B$505,"&lt;="&amp;EOMONTH(J$5,0))))</f>
        <v>2193.75</v>
      </c>
      <c r="K9" s="35" t="n">
        <f aca="false">IF($A9="","",IF(Settings!$C$11="Paid",SUMIFS(Invoices!$I$6:$I$505,Invoices!$C$6:$C$505,$A9,Invoices!$H$6:$H$505,"&gt;="&amp;K$5,Invoices!$H$6:$H$505,"&lt;="&amp;EOMONTH(K$5,0)),SUMIFS(Invoices!$E$6:$E$505,Invoices!$C$6:$C$505,$A9,Invoices!$B$6:$B$505,"&gt;="&amp;K$5,Invoices!$B$6:$B$505,"&lt;="&amp;EOMONTH(K$5,0))))</f>
        <v>1890</v>
      </c>
      <c r="L9" s="35" t="n">
        <f aca="false">IF($A9="","",IF(Settings!$C$11="Paid",SUMIFS(Invoices!$I$6:$I$505,Invoices!$C$6:$C$505,$A9,Invoices!$H$6:$H$505,"&gt;="&amp;L$5,Invoices!$H$6:$H$505,"&lt;="&amp;EOMONTH(L$5,0)),SUMIFS(Invoices!$E$6:$E$505,Invoices!$C$6:$C$505,$A9,Invoices!$B$6:$B$505,"&gt;="&amp;L$5,Invoices!$B$6:$B$505,"&lt;="&amp;EOMONTH(L$5,0))))</f>
        <v>0</v>
      </c>
      <c r="M9" s="35" t="n">
        <f aca="false">IF($A9="","",IF(Settings!$C$11="Paid",SUMIFS(Invoices!$I$6:$I$505,Invoices!$C$6:$C$505,$A9,Invoices!$H$6:$H$505,"&gt;="&amp;M$5,Invoices!$H$6:$H$505,"&lt;="&amp;EOMONTH(M$5,0)),SUMIFS(Invoices!$E$6:$E$505,Invoices!$C$6:$C$505,$A9,Invoices!$B$6:$B$505,"&gt;="&amp;M$5,Invoices!$B$6:$B$505,"&lt;="&amp;EOMONTH(M$5,0))))</f>
        <v>0</v>
      </c>
      <c r="N9" s="55" t="n">
        <f aca="false">IF($A9="","",SUM(B9:M9))</f>
        <v>15120</v>
      </c>
      <c r="O9" s="37" t="n">
        <f aca="false">IF(OR($A9="",N($N$28)=0),"",N9/$N$28)</f>
        <v>0.131764705882353</v>
      </c>
    </row>
    <row r="10" customFormat="false" ht="15" hidden="false" customHeight="false" outlineLevel="0" collapsed="false">
      <c r="A10" s="78" t="str">
        <f aca="false">IF(Clients!B9="","",Clients!B9)</f>
        <v>Bramble Family Dental</v>
      </c>
      <c r="B10" s="35" t="n">
        <f aca="false">IF($A10="","",IF(Settings!$C$11="Paid",SUMIFS(Invoices!$I$6:$I$505,Invoices!$C$6:$C$505,$A10,Invoices!$H$6:$H$505,"&gt;="&amp;B$5,Invoices!$H$6:$H$505,"&lt;="&amp;EOMONTH(B$5,0)),SUMIFS(Invoices!$E$6:$E$505,Invoices!$C$6:$C$505,$A10,Invoices!$B$6:$B$505,"&gt;="&amp;B$5,Invoices!$B$6:$B$505,"&lt;="&amp;EOMONTH(B$5,0))))</f>
        <v>2200</v>
      </c>
      <c r="C10" s="35" t="n">
        <f aca="false">IF($A10="","",IF(Settings!$C$11="Paid",SUMIFS(Invoices!$I$6:$I$505,Invoices!$C$6:$C$505,$A10,Invoices!$H$6:$H$505,"&gt;="&amp;C$5,Invoices!$H$6:$H$505,"&lt;="&amp;EOMONTH(C$5,0)),SUMIFS(Invoices!$E$6:$E$505,Invoices!$C$6:$C$505,$A10,Invoices!$B$6:$B$505,"&gt;="&amp;C$5,Invoices!$B$6:$B$505,"&lt;="&amp;EOMONTH(C$5,0))))</f>
        <v>2200</v>
      </c>
      <c r="D10" s="35" t="n">
        <f aca="false">IF($A10="","",IF(Settings!$C$11="Paid",SUMIFS(Invoices!$I$6:$I$505,Invoices!$C$6:$C$505,$A10,Invoices!$H$6:$H$505,"&gt;="&amp;D$5,Invoices!$H$6:$H$505,"&lt;="&amp;EOMONTH(D$5,0)),SUMIFS(Invoices!$E$6:$E$505,Invoices!$C$6:$C$505,$A10,Invoices!$B$6:$B$505,"&gt;="&amp;D$5,Invoices!$B$6:$B$505,"&lt;="&amp;EOMONTH(D$5,0))))</f>
        <v>2200</v>
      </c>
      <c r="E10" s="35" t="n">
        <f aca="false">IF($A10="","",IF(Settings!$C$11="Paid",SUMIFS(Invoices!$I$6:$I$505,Invoices!$C$6:$C$505,$A10,Invoices!$H$6:$H$505,"&gt;="&amp;E$5,Invoices!$H$6:$H$505,"&lt;="&amp;EOMONTH(E$5,0)),SUMIFS(Invoices!$E$6:$E$505,Invoices!$C$6:$C$505,$A10,Invoices!$B$6:$B$505,"&gt;="&amp;E$5,Invoices!$B$6:$B$505,"&lt;="&amp;EOMONTH(E$5,0))))</f>
        <v>2200</v>
      </c>
      <c r="F10" s="35" t="n">
        <f aca="false">IF($A10="","",IF(Settings!$C$11="Paid",SUMIFS(Invoices!$I$6:$I$505,Invoices!$C$6:$C$505,$A10,Invoices!$H$6:$H$505,"&gt;="&amp;F$5,Invoices!$H$6:$H$505,"&lt;="&amp;EOMONTH(F$5,0)),SUMIFS(Invoices!$E$6:$E$505,Invoices!$C$6:$C$505,$A10,Invoices!$B$6:$B$505,"&gt;="&amp;F$5,Invoices!$B$6:$B$505,"&lt;="&amp;EOMONTH(F$5,0))))</f>
        <v>2200</v>
      </c>
      <c r="G10" s="35" t="n">
        <f aca="false">IF($A10="","",IF(Settings!$C$11="Paid",SUMIFS(Invoices!$I$6:$I$505,Invoices!$C$6:$C$505,$A10,Invoices!$H$6:$H$505,"&gt;="&amp;G$5,Invoices!$H$6:$H$505,"&lt;="&amp;EOMONTH(G$5,0)),SUMIFS(Invoices!$E$6:$E$505,Invoices!$C$6:$C$505,$A10,Invoices!$B$6:$B$505,"&gt;="&amp;G$5,Invoices!$B$6:$B$505,"&lt;="&amp;EOMONTH(G$5,0))))</f>
        <v>2200</v>
      </c>
      <c r="H10" s="35" t="n">
        <f aca="false">IF($A10="","",IF(Settings!$C$11="Paid",SUMIFS(Invoices!$I$6:$I$505,Invoices!$C$6:$C$505,$A10,Invoices!$H$6:$H$505,"&gt;="&amp;H$5,Invoices!$H$6:$H$505,"&lt;="&amp;EOMONTH(H$5,0)),SUMIFS(Invoices!$E$6:$E$505,Invoices!$C$6:$C$505,$A10,Invoices!$B$6:$B$505,"&gt;="&amp;H$5,Invoices!$B$6:$B$505,"&lt;="&amp;EOMONTH(H$5,0))))</f>
        <v>2200</v>
      </c>
      <c r="I10" s="35" t="n">
        <f aca="false">IF($A10="","",IF(Settings!$C$11="Paid",SUMIFS(Invoices!$I$6:$I$505,Invoices!$C$6:$C$505,$A10,Invoices!$H$6:$H$505,"&gt;="&amp;I$5,Invoices!$H$6:$H$505,"&lt;="&amp;EOMONTH(I$5,0)),SUMIFS(Invoices!$E$6:$E$505,Invoices!$C$6:$C$505,$A10,Invoices!$B$6:$B$505,"&gt;="&amp;I$5,Invoices!$B$6:$B$505,"&lt;="&amp;EOMONTH(I$5,0))))</f>
        <v>2200</v>
      </c>
      <c r="J10" s="35" t="n">
        <f aca="false">IF($A10="","",IF(Settings!$C$11="Paid",SUMIFS(Invoices!$I$6:$I$505,Invoices!$C$6:$C$505,$A10,Invoices!$H$6:$H$505,"&gt;="&amp;J$5,Invoices!$H$6:$H$505,"&lt;="&amp;EOMONTH(J$5,0)),SUMIFS(Invoices!$E$6:$E$505,Invoices!$C$6:$C$505,$A10,Invoices!$B$6:$B$505,"&gt;="&amp;J$5,Invoices!$B$6:$B$505,"&lt;="&amp;EOMONTH(J$5,0))))</f>
        <v>2200</v>
      </c>
      <c r="K10" s="35" t="n">
        <f aca="false">IF($A10="","",IF(Settings!$C$11="Paid",SUMIFS(Invoices!$I$6:$I$505,Invoices!$C$6:$C$505,$A10,Invoices!$H$6:$H$505,"&gt;="&amp;K$5,Invoices!$H$6:$H$505,"&lt;="&amp;EOMONTH(K$5,0)),SUMIFS(Invoices!$E$6:$E$505,Invoices!$C$6:$C$505,$A10,Invoices!$B$6:$B$505,"&gt;="&amp;K$5,Invoices!$B$6:$B$505,"&lt;="&amp;EOMONTH(K$5,0))))</f>
        <v>0</v>
      </c>
      <c r="L10" s="35" t="n">
        <f aca="false">IF($A10="","",IF(Settings!$C$11="Paid",SUMIFS(Invoices!$I$6:$I$505,Invoices!$C$6:$C$505,$A10,Invoices!$H$6:$H$505,"&gt;="&amp;L$5,Invoices!$H$6:$H$505,"&lt;="&amp;EOMONTH(L$5,0)),SUMIFS(Invoices!$E$6:$E$505,Invoices!$C$6:$C$505,$A10,Invoices!$B$6:$B$505,"&gt;="&amp;L$5,Invoices!$B$6:$B$505,"&lt;="&amp;EOMONTH(L$5,0))))</f>
        <v>0</v>
      </c>
      <c r="M10" s="35" t="n">
        <f aca="false">IF($A10="","",IF(Settings!$C$11="Paid",SUMIFS(Invoices!$I$6:$I$505,Invoices!$C$6:$C$505,$A10,Invoices!$H$6:$H$505,"&gt;="&amp;M$5,Invoices!$H$6:$H$505,"&lt;="&amp;EOMONTH(M$5,0)),SUMIFS(Invoices!$E$6:$E$505,Invoices!$C$6:$C$505,$A10,Invoices!$B$6:$B$505,"&gt;="&amp;M$5,Invoices!$B$6:$B$505,"&lt;="&amp;EOMONTH(M$5,0))))</f>
        <v>0</v>
      </c>
      <c r="N10" s="55" t="n">
        <f aca="false">IF($A10="","",SUM(B10:M10))</f>
        <v>19800</v>
      </c>
      <c r="O10" s="37" t="n">
        <f aca="false">IF(OR($A10="",N($N$28)=0),"",N10/$N$28)</f>
        <v>0.172549019607843</v>
      </c>
    </row>
    <row r="11" customFormat="false" ht="15" hidden="false" customHeight="false" outlineLevel="0" collapsed="false">
      <c r="A11" s="78" t="str">
        <f aca="false">IF(Clients!B10="","",Clients!B10)</f>
        <v>Second Cup Cafe</v>
      </c>
      <c r="B11" s="35" t="n">
        <f aca="false">IF($A11="","",IF(Settings!$C$11="Paid",SUMIFS(Invoices!$I$6:$I$505,Invoices!$C$6:$C$505,$A11,Invoices!$H$6:$H$505,"&gt;="&amp;B$5,Invoices!$H$6:$H$505,"&lt;="&amp;EOMONTH(B$5,0)),SUMIFS(Invoices!$E$6:$E$505,Invoices!$C$6:$C$505,$A11,Invoices!$B$6:$B$505,"&gt;="&amp;B$5,Invoices!$B$6:$B$505,"&lt;="&amp;EOMONTH(B$5,0))))</f>
        <v>0</v>
      </c>
      <c r="C11" s="35" t="n">
        <f aca="false">IF($A11="","",IF(Settings!$C$11="Paid",SUMIFS(Invoices!$I$6:$I$505,Invoices!$C$6:$C$505,$A11,Invoices!$H$6:$H$505,"&gt;="&amp;C$5,Invoices!$H$6:$H$505,"&lt;="&amp;EOMONTH(C$5,0)),SUMIFS(Invoices!$E$6:$E$505,Invoices!$C$6:$C$505,$A11,Invoices!$B$6:$B$505,"&gt;="&amp;C$5,Invoices!$B$6:$B$505,"&lt;="&amp;EOMONTH(C$5,0))))</f>
        <v>0</v>
      </c>
      <c r="D11" s="35" t="n">
        <f aca="false">IF($A11="","",IF(Settings!$C$11="Paid",SUMIFS(Invoices!$I$6:$I$505,Invoices!$C$6:$C$505,$A11,Invoices!$H$6:$H$505,"&gt;="&amp;D$5,Invoices!$H$6:$H$505,"&lt;="&amp;EOMONTH(D$5,0)),SUMIFS(Invoices!$E$6:$E$505,Invoices!$C$6:$C$505,$A11,Invoices!$B$6:$B$505,"&gt;="&amp;D$5,Invoices!$B$6:$B$505,"&lt;="&amp;EOMONTH(D$5,0))))</f>
        <v>1925</v>
      </c>
      <c r="E11" s="35" t="n">
        <f aca="false">IF($A11="","",IF(Settings!$C$11="Paid",SUMIFS(Invoices!$I$6:$I$505,Invoices!$C$6:$C$505,$A11,Invoices!$H$6:$H$505,"&gt;="&amp;E$5,Invoices!$H$6:$H$505,"&lt;="&amp;EOMONTH(E$5,0)),SUMIFS(Invoices!$E$6:$E$505,Invoices!$C$6:$C$505,$A11,Invoices!$B$6:$B$505,"&gt;="&amp;E$5,Invoices!$B$6:$B$505,"&lt;="&amp;EOMONTH(E$5,0))))</f>
        <v>0</v>
      </c>
      <c r="F11" s="35" t="n">
        <f aca="false">IF($A11="","",IF(Settings!$C$11="Paid",SUMIFS(Invoices!$I$6:$I$505,Invoices!$C$6:$C$505,$A11,Invoices!$H$6:$H$505,"&gt;="&amp;F$5,Invoices!$H$6:$H$505,"&lt;="&amp;EOMONTH(F$5,0)),SUMIFS(Invoices!$E$6:$E$505,Invoices!$C$6:$C$505,$A11,Invoices!$B$6:$B$505,"&gt;="&amp;F$5,Invoices!$B$6:$B$505,"&lt;="&amp;EOMONTH(F$5,0))))</f>
        <v>1875</v>
      </c>
      <c r="G11" s="35" t="n">
        <f aca="false">IF($A11="","",IF(Settings!$C$11="Paid",SUMIFS(Invoices!$I$6:$I$505,Invoices!$C$6:$C$505,$A11,Invoices!$H$6:$H$505,"&gt;="&amp;G$5,Invoices!$H$6:$H$505,"&lt;="&amp;EOMONTH(G$5,0)),SUMIFS(Invoices!$E$6:$E$505,Invoices!$C$6:$C$505,$A11,Invoices!$B$6:$B$505,"&gt;="&amp;G$5,Invoices!$B$6:$B$505,"&lt;="&amp;EOMONTH(G$5,0))))</f>
        <v>0</v>
      </c>
      <c r="H11" s="35" t="n">
        <f aca="false">IF($A11="","",IF(Settings!$C$11="Paid",SUMIFS(Invoices!$I$6:$I$505,Invoices!$C$6:$C$505,$A11,Invoices!$H$6:$H$505,"&gt;="&amp;H$5,Invoices!$H$6:$H$505,"&lt;="&amp;EOMONTH(H$5,0)),SUMIFS(Invoices!$E$6:$E$505,Invoices!$C$6:$C$505,$A11,Invoices!$B$6:$B$505,"&gt;="&amp;H$5,Invoices!$B$6:$B$505,"&lt;="&amp;EOMONTH(H$5,0))))</f>
        <v>1625</v>
      </c>
      <c r="I11" s="35" t="n">
        <f aca="false">IF($A11="","",IF(Settings!$C$11="Paid",SUMIFS(Invoices!$I$6:$I$505,Invoices!$C$6:$C$505,$A11,Invoices!$H$6:$H$505,"&gt;="&amp;I$5,Invoices!$H$6:$H$505,"&lt;="&amp;EOMONTH(I$5,0)),SUMIFS(Invoices!$E$6:$E$505,Invoices!$C$6:$C$505,$A11,Invoices!$B$6:$B$505,"&gt;="&amp;I$5,Invoices!$B$6:$B$505,"&lt;="&amp;EOMONTH(I$5,0))))</f>
        <v>0</v>
      </c>
      <c r="J11" s="35" t="n">
        <f aca="false">IF($A11="","",IF(Settings!$C$11="Paid",SUMIFS(Invoices!$I$6:$I$505,Invoices!$C$6:$C$505,$A11,Invoices!$H$6:$H$505,"&gt;="&amp;J$5,Invoices!$H$6:$H$505,"&lt;="&amp;EOMONTH(J$5,0)),SUMIFS(Invoices!$E$6:$E$505,Invoices!$C$6:$C$505,$A11,Invoices!$B$6:$B$505,"&gt;="&amp;J$5,Invoices!$B$6:$B$505,"&lt;="&amp;EOMONTH(J$5,0))))</f>
        <v>500</v>
      </c>
      <c r="K11" s="35" t="n">
        <f aca="false">IF($A11="","",IF(Settings!$C$11="Paid",SUMIFS(Invoices!$I$6:$I$505,Invoices!$C$6:$C$505,$A11,Invoices!$H$6:$H$505,"&gt;="&amp;K$5,Invoices!$H$6:$H$505,"&lt;="&amp;EOMONTH(K$5,0)),SUMIFS(Invoices!$E$6:$E$505,Invoices!$C$6:$C$505,$A11,Invoices!$B$6:$B$505,"&gt;="&amp;K$5,Invoices!$B$6:$B$505,"&lt;="&amp;EOMONTH(K$5,0))))</f>
        <v>0</v>
      </c>
      <c r="L11" s="35" t="n">
        <f aca="false">IF($A11="","",IF(Settings!$C$11="Paid",SUMIFS(Invoices!$I$6:$I$505,Invoices!$C$6:$C$505,$A11,Invoices!$H$6:$H$505,"&gt;="&amp;L$5,Invoices!$H$6:$H$505,"&lt;="&amp;EOMONTH(L$5,0)),SUMIFS(Invoices!$E$6:$E$505,Invoices!$C$6:$C$505,$A11,Invoices!$B$6:$B$505,"&gt;="&amp;L$5,Invoices!$B$6:$B$505,"&lt;="&amp;EOMONTH(L$5,0))))</f>
        <v>0</v>
      </c>
      <c r="M11" s="35" t="n">
        <f aca="false">IF($A11="","",IF(Settings!$C$11="Paid",SUMIFS(Invoices!$I$6:$I$505,Invoices!$C$6:$C$505,$A11,Invoices!$H$6:$H$505,"&gt;="&amp;M$5,Invoices!$H$6:$H$505,"&lt;="&amp;EOMONTH(M$5,0)),SUMIFS(Invoices!$E$6:$E$505,Invoices!$C$6:$C$505,$A11,Invoices!$B$6:$B$505,"&gt;="&amp;M$5,Invoices!$B$6:$B$505,"&lt;="&amp;EOMONTH(M$5,0))))</f>
        <v>0</v>
      </c>
      <c r="N11" s="55" t="n">
        <f aca="false">IF($A11="","",SUM(B11:M11))</f>
        <v>5925</v>
      </c>
      <c r="O11" s="37" t="n">
        <f aca="false">IF(OR($A11="",N($N$28)=0),"",N11/$N$28)</f>
        <v>0.0516339869281046</v>
      </c>
    </row>
    <row r="12" customFormat="false" ht="15" hidden="false" customHeight="false" outlineLevel="0" collapsed="false">
      <c r="A12" s="78" t="str">
        <f aca="false">IF(Clients!B11="","",Clients!B11)</f>
        <v>Ironclad Fitness</v>
      </c>
      <c r="B12" s="35" t="n">
        <f aca="false">IF($A12="","",IF(Settings!$C$11="Paid",SUMIFS(Invoices!$I$6:$I$505,Invoices!$C$6:$C$505,$A12,Invoices!$H$6:$H$505,"&gt;="&amp;B$5,Invoices!$H$6:$H$505,"&lt;="&amp;EOMONTH(B$5,0)),SUMIFS(Invoices!$E$6:$E$505,Invoices!$C$6:$C$505,$A12,Invoices!$B$6:$B$505,"&gt;="&amp;B$5,Invoices!$B$6:$B$505,"&lt;="&amp;EOMONTH(B$5,0))))</f>
        <v>0</v>
      </c>
      <c r="C12" s="35" t="n">
        <f aca="false">IF($A12="","",IF(Settings!$C$11="Paid",SUMIFS(Invoices!$I$6:$I$505,Invoices!$C$6:$C$505,$A12,Invoices!$H$6:$H$505,"&gt;="&amp;C$5,Invoices!$H$6:$H$505,"&lt;="&amp;EOMONTH(C$5,0)),SUMIFS(Invoices!$E$6:$E$505,Invoices!$C$6:$C$505,$A12,Invoices!$B$6:$B$505,"&gt;="&amp;C$5,Invoices!$B$6:$B$505,"&lt;="&amp;EOMONTH(C$5,0))))</f>
        <v>0</v>
      </c>
      <c r="D12" s="35" t="n">
        <f aca="false">IF($A12="","",IF(Settings!$C$11="Paid",SUMIFS(Invoices!$I$6:$I$505,Invoices!$C$6:$C$505,$A12,Invoices!$H$6:$H$505,"&gt;="&amp;D$5,Invoices!$H$6:$H$505,"&lt;="&amp;EOMONTH(D$5,0)),SUMIFS(Invoices!$E$6:$E$505,Invoices!$C$6:$C$505,$A12,Invoices!$B$6:$B$505,"&gt;="&amp;D$5,Invoices!$B$6:$B$505,"&lt;="&amp;EOMONTH(D$5,0))))</f>
        <v>4500</v>
      </c>
      <c r="E12" s="35" t="n">
        <f aca="false">IF($A12="","",IF(Settings!$C$11="Paid",SUMIFS(Invoices!$I$6:$I$505,Invoices!$C$6:$C$505,$A12,Invoices!$H$6:$H$505,"&gt;="&amp;E$5,Invoices!$H$6:$H$505,"&lt;="&amp;EOMONTH(E$5,0)),SUMIFS(Invoices!$E$6:$E$505,Invoices!$C$6:$C$505,$A12,Invoices!$B$6:$B$505,"&gt;="&amp;E$5,Invoices!$B$6:$B$505,"&lt;="&amp;EOMONTH(E$5,0))))</f>
        <v>0</v>
      </c>
      <c r="F12" s="35" t="n">
        <f aca="false">IF($A12="","",IF(Settings!$C$11="Paid",SUMIFS(Invoices!$I$6:$I$505,Invoices!$C$6:$C$505,$A12,Invoices!$H$6:$H$505,"&gt;="&amp;F$5,Invoices!$H$6:$H$505,"&lt;="&amp;EOMONTH(F$5,0)),SUMIFS(Invoices!$E$6:$E$505,Invoices!$C$6:$C$505,$A12,Invoices!$B$6:$B$505,"&gt;="&amp;F$5,Invoices!$B$6:$B$505,"&lt;="&amp;EOMONTH(F$5,0))))</f>
        <v>0</v>
      </c>
      <c r="G12" s="35" t="n">
        <f aca="false">IF($A12="","",IF(Settings!$C$11="Paid",SUMIFS(Invoices!$I$6:$I$505,Invoices!$C$6:$C$505,$A12,Invoices!$H$6:$H$505,"&gt;="&amp;G$5,Invoices!$H$6:$H$505,"&lt;="&amp;EOMONTH(G$5,0)),SUMIFS(Invoices!$E$6:$E$505,Invoices!$C$6:$C$505,$A12,Invoices!$B$6:$B$505,"&gt;="&amp;G$5,Invoices!$B$6:$B$505,"&lt;="&amp;EOMONTH(G$5,0))))</f>
        <v>4500</v>
      </c>
      <c r="H12" s="35" t="n">
        <f aca="false">IF($A12="","",IF(Settings!$C$11="Paid",SUMIFS(Invoices!$I$6:$I$505,Invoices!$C$6:$C$505,$A12,Invoices!$H$6:$H$505,"&gt;="&amp;H$5,Invoices!$H$6:$H$505,"&lt;="&amp;EOMONTH(H$5,0)),SUMIFS(Invoices!$E$6:$E$505,Invoices!$C$6:$C$505,$A12,Invoices!$B$6:$B$505,"&gt;="&amp;H$5,Invoices!$B$6:$B$505,"&lt;="&amp;EOMONTH(H$5,0))))</f>
        <v>0</v>
      </c>
      <c r="I12" s="35" t="n">
        <f aca="false">IF($A12="","",IF(Settings!$C$11="Paid",SUMIFS(Invoices!$I$6:$I$505,Invoices!$C$6:$C$505,$A12,Invoices!$H$6:$H$505,"&gt;="&amp;I$5,Invoices!$H$6:$H$505,"&lt;="&amp;EOMONTH(I$5,0)),SUMIFS(Invoices!$E$6:$E$505,Invoices!$C$6:$C$505,$A12,Invoices!$B$6:$B$505,"&gt;="&amp;I$5,Invoices!$B$6:$B$505,"&lt;="&amp;EOMONTH(I$5,0))))</f>
        <v>0</v>
      </c>
      <c r="J12" s="35" t="n">
        <f aca="false">IF($A12="","",IF(Settings!$C$11="Paid",SUMIFS(Invoices!$I$6:$I$505,Invoices!$C$6:$C$505,$A12,Invoices!$H$6:$H$505,"&gt;="&amp;J$5,Invoices!$H$6:$H$505,"&lt;="&amp;EOMONTH(J$5,0)),SUMIFS(Invoices!$E$6:$E$505,Invoices!$C$6:$C$505,$A12,Invoices!$B$6:$B$505,"&gt;="&amp;J$5,Invoices!$B$6:$B$505,"&lt;="&amp;EOMONTH(J$5,0))))</f>
        <v>0</v>
      </c>
      <c r="K12" s="35" t="n">
        <f aca="false">IF($A12="","",IF(Settings!$C$11="Paid",SUMIFS(Invoices!$I$6:$I$505,Invoices!$C$6:$C$505,$A12,Invoices!$H$6:$H$505,"&gt;="&amp;K$5,Invoices!$H$6:$H$505,"&lt;="&amp;EOMONTH(K$5,0)),SUMIFS(Invoices!$E$6:$E$505,Invoices!$C$6:$C$505,$A12,Invoices!$B$6:$B$505,"&gt;="&amp;K$5,Invoices!$B$6:$B$505,"&lt;="&amp;EOMONTH(K$5,0))))</f>
        <v>0</v>
      </c>
      <c r="L12" s="35" t="n">
        <f aca="false">IF($A12="","",IF(Settings!$C$11="Paid",SUMIFS(Invoices!$I$6:$I$505,Invoices!$C$6:$C$505,$A12,Invoices!$H$6:$H$505,"&gt;="&amp;L$5,Invoices!$H$6:$H$505,"&lt;="&amp;EOMONTH(L$5,0)),SUMIFS(Invoices!$E$6:$E$505,Invoices!$C$6:$C$505,$A12,Invoices!$B$6:$B$505,"&gt;="&amp;L$5,Invoices!$B$6:$B$505,"&lt;="&amp;EOMONTH(L$5,0))))</f>
        <v>0</v>
      </c>
      <c r="M12" s="35" t="n">
        <f aca="false">IF($A12="","",IF(Settings!$C$11="Paid",SUMIFS(Invoices!$I$6:$I$505,Invoices!$C$6:$C$505,$A12,Invoices!$H$6:$H$505,"&gt;="&amp;M$5,Invoices!$H$6:$H$505,"&lt;="&amp;EOMONTH(M$5,0)),SUMIFS(Invoices!$E$6:$E$505,Invoices!$C$6:$C$505,$A12,Invoices!$B$6:$B$505,"&gt;="&amp;M$5,Invoices!$B$6:$B$505,"&lt;="&amp;EOMONTH(M$5,0))))</f>
        <v>0</v>
      </c>
      <c r="N12" s="55" t="n">
        <f aca="false">IF($A12="","",SUM(B12:M12))</f>
        <v>9000</v>
      </c>
      <c r="O12" s="37" t="n">
        <f aca="false">IF(OR($A12="",N($N$28)=0),"",N12/$N$28)</f>
        <v>0.0784313725490196</v>
      </c>
    </row>
    <row r="13" customFormat="false" ht="15" hidden="false" customHeight="false" outlineLevel="0" collapsed="false">
      <c r="A13" s="78" t="str">
        <f aca="false">IF(Clients!B12="","",Clients!B12)</f>
        <v>Lakeside Law Group</v>
      </c>
      <c r="B13" s="35" t="n">
        <f aca="false">IF($A13="","",IF(Settings!$C$11="Paid",SUMIFS(Invoices!$I$6:$I$505,Invoices!$C$6:$C$505,$A13,Invoices!$H$6:$H$505,"&gt;="&amp;B$5,Invoices!$H$6:$H$505,"&lt;="&amp;EOMONTH(B$5,0)),SUMIFS(Invoices!$E$6:$E$505,Invoices!$C$6:$C$505,$A13,Invoices!$B$6:$B$505,"&gt;="&amp;B$5,Invoices!$B$6:$B$505,"&lt;="&amp;EOMONTH(B$5,0))))</f>
        <v>0</v>
      </c>
      <c r="C13" s="35" t="n">
        <f aca="false">IF($A13="","",IF(Settings!$C$11="Paid",SUMIFS(Invoices!$I$6:$I$505,Invoices!$C$6:$C$505,$A13,Invoices!$H$6:$H$505,"&gt;="&amp;C$5,Invoices!$H$6:$H$505,"&lt;="&amp;EOMONTH(C$5,0)),SUMIFS(Invoices!$E$6:$E$505,Invoices!$C$6:$C$505,$A13,Invoices!$B$6:$B$505,"&gt;="&amp;C$5,Invoices!$B$6:$B$505,"&lt;="&amp;EOMONTH(C$5,0))))</f>
        <v>0</v>
      </c>
      <c r="D13" s="35" t="n">
        <f aca="false">IF($A13="","",IF(Settings!$C$11="Paid",SUMIFS(Invoices!$I$6:$I$505,Invoices!$C$6:$C$505,$A13,Invoices!$H$6:$H$505,"&gt;="&amp;D$5,Invoices!$H$6:$H$505,"&lt;="&amp;EOMONTH(D$5,0)),SUMIFS(Invoices!$E$6:$E$505,Invoices!$C$6:$C$505,$A13,Invoices!$B$6:$B$505,"&gt;="&amp;D$5,Invoices!$B$6:$B$505,"&lt;="&amp;EOMONTH(D$5,0))))</f>
        <v>0</v>
      </c>
      <c r="E13" s="35" t="n">
        <f aca="false">IF($A13="","",IF(Settings!$C$11="Paid",SUMIFS(Invoices!$I$6:$I$505,Invoices!$C$6:$C$505,$A13,Invoices!$H$6:$H$505,"&gt;="&amp;E$5,Invoices!$H$6:$H$505,"&lt;="&amp;EOMONTH(E$5,0)),SUMIFS(Invoices!$E$6:$E$505,Invoices!$C$6:$C$505,$A13,Invoices!$B$6:$B$505,"&gt;="&amp;E$5,Invoices!$B$6:$B$505,"&lt;="&amp;EOMONTH(E$5,0))))</f>
        <v>0</v>
      </c>
      <c r="F13" s="35" t="n">
        <f aca="false">IF($A13="","",IF(Settings!$C$11="Paid",SUMIFS(Invoices!$I$6:$I$505,Invoices!$C$6:$C$505,$A13,Invoices!$H$6:$H$505,"&gt;="&amp;F$5,Invoices!$H$6:$H$505,"&lt;="&amp;EOMONTH(F$5,0)),SUMIFS(Invoices!$E$6:$E$505,Invoices!$C$6:$C$505,$A13,Invoices!$B$6:$B$505,"&gt;="&amp;F$5,Invoices!$B$6:$B$505,"&lt;="&amp;EOMONTH(F$5,0))))</f>
        <v>0</v>
      </c>
      <c r="G13" s="35" t="n">
        <f aca="false">IF($A13="","",IF(Settings!$C$11="Paid",SUMIFS(Invoices!$I$6:$I$505,Invoices!$C$6:$C$505,$A13,Invoices!$H$6:$H$505,"&gt;="&amp;G$5,Invoices!$H$6:$H$505,"&lt;="&amp;EOMONTH(G$5,0)),SUMIFS(Invoices!$E$6:$E$505,Invoices!$C$6:$C$505,$A13,Invoices!$B$6:$B$505,"&gt;="&amp;G$5,Invoices!$B$6:$B$505,"&lt;="&amp;EOMONTH(G$5,0))))</f>
        <v>0</v>
      </c>
      <c r="H13" s="35" t="n">
        <f aca="false">IF($A13="","",IF(Settings!$C$11="Paid",SUMIFS(Invoices!$I$6:$I$505,Invoices!$C$6:$C$505,$A13,Invoices!$H$6:$H$505,"&gt;="&amp;H$5,Invoices!$H$6:$H$505,"&lt;="&amp;EOMONTH(H$5,0)),SUMIFS(Invoices!$E$6:$E$505,Invoices!$C$6:$C$505,$A13,Invoices!$B$6:$B$505,"&gt;="&amp;H$5,Invoices!$B$6:$B$505,"&lt;="&amp;EOMONTH(H$5,0))))</f>
        <v>1840</v>
      </c>
      <c r="I13" s="35" t="n">
        <f aca="false">IF($A13="","",IF(Settings!$C$11="Paid",SUMIFS(Invoices!$I$6:$I$505,Invoices!$C$6:$C$505,$A13,Invoices!$H$6:$H$505,"&gt;="&amp;I$5,Invoices!$H$6:$H$505,"&lt;="&amp;EOMONTH(I$5,0)),SUMIFS(Invoices!$E$6:$E$505,Invoices!$C$6:$C$505,$A13,Invoices!$B$6:$B$505,"&gt;="&amp;I$5,Invoices!$B$6:$B$505,"&lt;="&amp;EOMONTH(I$5,0))))</f>
        <v>2480</v>
      </c>
      <c r="J13" s="35" t="n">
        <f aca="false">IF($A13="","",IF(Settings!$C$11="Paid",SUMIFS(Invoices!$I$6:$I$505,Invoices!$C$6:$C$505,$A13,Invoices!$H$6:$H$505,"&gt;="&amp;J$5,Invoices!$H$6:$H$505,"&lt;="&amp;EOMONTH(J$5,0)),SUMIFS(Invoices!$E$6:$E$505,Invoices!$C$6:$C$505,$A13,Invoices!$B$6:$B$505,"&gt;="&amp;J$5,Invoices!$B$6:$B$505,"&lt;="&amp;EOMONTH(J$5,0))))</f>
        <v>1760</v>
      </c>
      <c r="K13" s="35" t="n">
        <f aca="false">IF($A13="","",IF(Settings!$C$11="Paid",SUMIFS(Invoices!$I$6:$I$505,Invoices!$C$6:$C$505,$A13,Invoices!$H$6:$H$505,"&gt;="&amp;K$5,Invoices!$H$6:$H$505,"&lt;="&amp;EOMONTH(K$5,0)),SUMIFS(Invoices!$E$6:$E$505,Invoices!$C$6:$C$505,$A13,Invoices!$B$6:$B$505,"&gt;="&amp;K$5,Invoices!$B$6:$B$505,"&lt;="&amp;EOMONTH(K$5,0))))</f>
        <v>0</v>
      </c>
      <c r="L13" s="35" t="n">
        <f aca="false">IF($A13="","",IF(Settings!$C$11="Paid",SUMIFS(Invoices!$I$6:$I$505,Invoices!$C$6:$C$505,$A13,Invoices!$H$6:$H$505,"&gt;="&amp;L$5,Invoices!$H$6:$H$505,"&lt;="&amp;EOMONTH(L$5,0)),SUMIFS(Invoices!$E$6:$E$505,Invoices!$C$6:$C$505,$A13,Invoices!$B$6:$B$505,"&gt;="&amp;L$5,Invoices!$B$6:$B$505,"&lt;="&amp;EOMONTH(L$5,0))))</f>
        <v>0</v>
      </c>
      <c r="M13" s="35" t="n">
        <f aca="false">IF($A13="","",IF(Settings!$C$11="Paid",SUMIFS(Invoices!$I$6:$I$505,Invoices!$C$6:$C$505,$A13,Invoices!$H$6:$H$505,"&gt;="&amp;M$5,Invoices!$H$6:$H$505,"&lt;="&amp;EOMONTH(M$5,0)),SUMIFS(Invoices!$E$6:$E$505,Invoices!$C$6:$C$505,$A13,Invoices!$B$6:$B$505,"&gt;="&amp;M$5,Invoices!$B$6:$B$505,"&lt;="&amp;EOMONTH(M$5,0))))</f>
        <v>0</v>
      </c>
      <c r="N13" s="55" t="n">
        <f aca="false">IF($A13="","",SUM(B13:M13))</f>
        <v>6080</v>
      </c>
      <c r="O13" s="37" t="n">
        <f aca="false">IF(OR($A13="",N($N$28)=0),"",N13/$N$28)</f>
        <v>0.0529847494553377</v>
      </c>
    </row>
    <row r="14" customFormat="false" ht="15" hidden="false" customHeight="false" outlineLevel="0" collapsed="false">
      <c r="A14" s="78" t="str">
        <f aca="false">IF(Clients!B13="","",Clients!B13)</f>
        <v>Pickle Barrel Deli</v>
      </c>
      <c r="B14" s="35" t="n">
        <f aca="false">IF($A14="","",IF(Settings!$C$11="Paid",SUMIFS(Invoices!$I$6:$I$505,Invoices!$C$6:$C$505,$A14,Invoices!$H$6:$H$505,"&gt;="&amp;B$5,Invoices!$H$6:$H$505,"&lt;="&amp;EOMONTH(B$5,0)),SUMIFS(Invoices!$E$6:$E$505,Invoices!$C$6:$C$505,$A14,Invoices!$B$6:$B$505,"&gt;="&amp;B$5,Invoices!$B$6:$B$505,"&lt;="&amp;EOMONTH(B$5,0))))</f>
        <v>0</v>
      </c>
      <c r="C14" s="35" t="n">
        <f aca="false">IF($A14="","",IF(Settings!$C$11="Paid",SUMIFS(Invoices!$I$6:$I$505,Invoices!$C$6:$C$505,$A14,Invoices!$H$6:$H$505,"&gt;="&amp;C$5,Invoices!$H$6:$H$505,"&lt;="&amp;EOMONTH(C$5,0)),SUMIFS(Invoices!$E$6:$E$505,Invoices!$C$6:$C$505,$A14,Invoices!$B$6:$B$505,"&gt;="&amp;C$5,Invoices!$B$6:$B$505,"&lt;="&amp;EOMONTH(C$5,0))))</f>
        <v>0</v>
      </c>
      <c r="D14" s="35" t="n">
        <f aca="false">IF($A14="","",IF(Settings!$C$11="Paid",SUMIFS(Invoices!$I$6:$I$505,Invoices!$C$6:$C$505,$A14,Invoices!$H$6:$H$505,"&gt;="&amp;D$5,Invoices!$H$6:$H$505,"&lt;="&amp;EOMONTH(D$5,0)),SUMIFS(Invoices!$E$6:$E$505,Invoices!$C$6:$C$505,$A14,Invoices!$B$6:$B$505,"&gt;="&amp;D$5,Invoices!$B$6:$B$505,"&lt;="&amp;EOMONTH(D$5,0))))</f>
        <v>0</v>
      </c>
      <c r="E14" s="35" t="n">
        <f aca="false">IF($A14="","",IF(Settings!$C$11="Paid",SUMIFS(Invoices!$I$6:$I$505,Invoices!$C$6:$C$505,$A14,Invoices!$H$6:$H$505,"&gt;="&amp;E$5,Invoices!$H$6:$H$505,"&lt;="&amp;EOMONTH(E$5,0)),SUMIFS(Invoices!$E$6:$E$505,Invoices!$C$6:$C$505,$A14,Invoices!$B$6:$B$505,"&gt;="&amp;E$5,Invoices!$B$6:$B$505,"&lt;="&amp;EOMONTH(E$5,0))))</f>
        <v>0</v>
      </c>
      <c r="F14" s="35" t="n">
        <f aca="false">IF($A14="","",IF(Settings!$C$11="Paid",SUMIFS(Invoices!$I$6:$I$505,Invoices!$C$6:$C$505,$A14,Invoices!$H$6:$H$505,"&gt;="&amp;F$5,Invoices!$H$6:$H$505,"&lt;="&amp;EOMONTH(F$5,0)),SUMIFS(Invoices!$E$6:$E$505,Invoices!$C$6:$C$505,$A14,Invoices!$B$6:$B$505,"&gt;="&amp;F$5,Invoices!$B$6:$B$505,"&lt;="&amp;EOMONTH(F$5,0))))</f>
        <v>0</v>
      </c>
      <c r="G14" s="35" t="n">
        <f aca="false">IF($A14="","",IF(Settings!$C$11="Paid",SUMIFS(Invoices!$I$6:$I$505,Invoices!$C$6:$C$505,$A14,Invoices!$H$6:$H$505,"&gt;="&amp;G$5,Invoices!$H$6:$H$505,"&lt;="&amp;EOMONTH(G$5,0)),SUMIFS(Invoices!$E$6:$E$505,Invoices!$C$6:$C$505,$A14,Invoices!$B$6:$B$505,"&gt;="&amp;G$5,Invoices!$B$6:$B$505,"&lt;="&amp;EOMONTH(G$5,0))))</f>
        <v>0</v>
      </c>
      <c r="H14" s="35" t="n">
        <f aca="false">IF($A14="","",IF(Settings!$C$11="Paid",SUMIFS(Invoices!$I$6:$I$505,Invoices!$C$6:$C$505,$A14,Invoices!$H$6:$H$505,"&gt;="&amp;H$5,Invoices!$H$6:$H$505,"&lt;="&amp;EOMONTH(H$5,0)),SUMIFS(Invoices!$E$6:$E$505,Invoices!$C$6:$C$505,$A14,Invoices!$B$6:$B$505,"&gt;="&amp;H$5,Invoices!$B$6:$B$505,"&lt;="&amp;EOMONTH(H$5,0))))</f>
        <v>0</v>
      </c>
      <c r="I14" s="35" t="n">
        <f aca="false">IF($A14="","",IF(Settings!$C$11="Paid",SUMIFS(Invoices!$I$6:$I$505,Invoices!$C$6:$C$505,$A14,Invoices!$H$6:$H$505,"&gt;="&amp;I$5,Invoices!$H$6:$H$505,"&lt;="&amp;EOMONTH(I$5,0)),SUMIFS(Invoices!$E$6:$E$505,Invoices!$C$6:$C$505,$A14,Invoices!$B$6:$B$505,"&gt;="&amp;I$5,Invoices!$B$6:$B$505,"&lt;="&amp;EOMONTH(I$5,0))))</f>
        <v>1200</v>
      </c>
      <c r="J14" s="35" t="n">
        <f aca="false">IF($A14="","",IF(Settings!$C$11="Paid",SUMIFS(Invoices!$I$6:$I$505,Invoices!$C$6:$C$505,$A14,Invoices!$H$6:$H$505,"&gt;="&amp;J$5,Invoices!$H$6:$H$505,"&lt;="&amp;EOMONTH(J$5,0)),SUMIFS(Invoices!$E$6:$E$505,Invoices!$C$6:$C$505,$A14,Invoices!$B$6:$B$505,"&gt;="&amp;J$5,Invoices!$B$6:$B$505,"&lt;="&amp;EOMONTH(J$5,0))))</f>
        <v>0</v>
      </c>
      <c r="K14" s="35" t="n">
        <f aca="false">IF($A14="","",IF(Settings!$C$11="Paid",SUMIFS(Invoices!$I$6:$I$505,Invoices!$C$6:$C$505,$A14,Invoices!$H$6:$H$505,"&gt;="&amp;K$5,Invoices!$H$6:$H$505,"&lt;="&amp;EOMONTH(K$5,0)),SUMIFS(Invoices!$E$6:$E$505,Invoices!$C$6:$C$505,$A14,Invoices!$B$6:$B$505,"&gt;="&amp;K$5,Invoices!$B$6:$B$505,"&lt;="&amp;EOMONTH(K$5,0))))</f>
        <v>0</v>
      </c>
      <c r="L14" s="35" t="n">
        <f aca="false">IF($A14="","",IF(Settings!$C$11="Paid",SUMIFS(Invoices!$I$6:$I$505,Invoices!$C$6:$C$505,$A14,Invoices!$H$6:$H$505,"&gt;="&amp;L$5,Invoices!$H$6:$H$505,"&lt;="&amp;EOMONTH(L$5,0)),SUMIFS(Invoices!$E$6:$E$505,Invoices!$C$6:$C$505,$A14,Invoices!$B$6:$B$505,"&gt;="&amp;L$5,Invoices!$B$6:$B$505,"&lt;="&amp;EOMONTH(L$5,0))))</f>
        <v>0</v>
      </c>
      <c r="M14" s="35" t="n">
        <f aca="false">IF($A14="","",IF(Settings!$C$11="Paid",SUMIFS(Invoices!$I$6:$I$505,Invoices!$C$6:$C$505,$A14,Invoices!$H$6:$H$505,"&gt;="&amp;M$5,Invoices!$H$6:$H$505,"&lt;="&amp;EOMONTH(M$5,0)),SUMIFS(Invoices!$E$6:$E$505,Invoices!$C$6:$C$505,$A14,Invoices!$B$6:$B$505,"&gt;="&amp;M$5,Invoices!$B$6:$B$505,"&lt;="&amp;EOMONTH(M$5,0))))</f>
        <v>0</v>
      </c>
      <c r="N14" s="55" t="n">
        <f aca="false">IF($A14="","",SUM(B14:M14))</f>
        <v>1200</v>
      </c>
      <c r="O14" s="37" t="n">
        <f aca="false">IF(OR($A14="",N($N$28)=0),"",N14/$N$28)</f>
        <v>0.0104575163398693</v>
      </c>
    </row>
    <row r="15" customFormat="false" ht="15" hidden="false" customHeight="false" outlineLevel="0" collapsed="false">
      <c r="A15" s="78" t="str">
        <f aca="false">IF(Clients!B14="","",Clients!B14)</f>
        <v/>
      </c>
      <c r="B15" s="35" t="str">
        <f aca="false">IF($A15="","",IF(Settings!$C$11="Paid",SUMIFS(Invoices!$I$6:$I$505,Invoices!$C$6:$C$505,$A15,Invoices!$H$6:$H$505,"&gt;="&amp;B$5,Invoices!$H$6:$H$505,"&lt;="&amp;EOMONTH(B$5,0)),SUMIFS(Invoices!$E$6:$E$505,Invoices!$C$6:$C$505,$A15,Invoices!$B$6:$B$505,"&gt;="&amp;B$5,Invoices!$B$6:$B$505,"&lt;="&amp;EOMONTH(B$5,0))))</f>
        <v/>
      </c>
      <c r="C15" s="35" t="str">
        <f aca="false">IF($A15="","",IF(Settings!$C$11="Paid",SUMIFS(Invoices!$I$6:$I$505,Invoices!$C$6:$C$505,$A15,Invoices!$H$6:$H$505,"&gt;="&amp;C$5,Invoices!$H$6:$H$505,"&lt;="&amp;EOMONTH(C$5,0)),SUMIFS(Invoices!$E$6:$E$505,Invoices!$C$6:$C$505,$A15,Invoices!$B$6:$B$505,"&gt;="&amp;C$5,Invoices!$B$6:$B$505,"&lt;="&amp;EOMONTH(C$5,0))))</f>
        <v/>
      </c>
      <c r="D15" s="35" t="str">
        <f aca="false">IF($A15="","",IF(Settings!$C$11="Paid",SUMIFS(Invoices!$I$6:$I$505,Invoices!$C$6:$C$505,$A15,Invoices!$H$6:$H$505,"&gt;="&amp;D$5,Invoices!$H$6:$H$505,"&lt;="&amp;EOMONTH(D$5,0)),SUMIFS(Invoices!$E$6:$E$505,Invoices!$C$6:$C$505,$A15,Invoices!$B$6:$B$505,"&gt;="&amp;D$5,Invoices!$B$6:$B$505,"&lt;="&amp;EOMONTH(D$5,0))))</f>
        <v/>
      </c>
      <c r="E15" s="35" t="str">
        <f aca="false">IF($A15="","",IF(Settings!$C$11="Paid",SUMIFS(Invoices!$I$6:$I$505,Invoices!$C$6:$C$505,$A15,Invoices!$H$6:$H$505,"&gt;="&amp;E$5,Invoices!$H$6:$H$505,"&lt;="&amp;EOMONTH(E$5,0)),SUMIFS(Invoices!$E$6:$E$505,Invoices!$C$6:$C$505,$A15,Invoices!$B$6:$B$505,"&gt;="&amp;E$5,Invoices!$B$6:$B$505,"&lt;="&amp;EOMONTH(E$5,0))))</f>
        <v/>
      </c>
      <c r="F15" s="35" t="str">
        <f aca="false">IF($A15="","",IF(Settings!$C$11="Paid",SUMIFS(Invoices!$I$6:$I$505,Invoices!$C$6:$C$505,$A15,Invoices!$H$6:$H$505,"&gt;="&amp;F$5,Invoices!$H$6:$H$505,"&lt;="&amp;EOMONTH(F$5,0)),SUMIFS(Invoices!$E$6:$E$505,Invoices!$C$6:$C$505,$A15,Invoices!$B$6:$B$505,"&gt;="&amp;F$5,Invoices!$B$6:$B$505,"&lt;="&amp;EOMONTH(F$5,0))))</f>
        <v/>
      </c>
      <c r="G15" s="35" t="str">
        <f aca="false">IF($A15="","",IF(Settings!$C$11="Paid",SUMIFS(Invoices!$I$6:$I$505,Invoices!$C$6:$C$505,$A15,Invoices!$H$6:$H$505,"&gt;="&amp;G$5,Invoices!$H$6:$H$505,"&lt;="&amp;EOMONTH(G$5,0)),SUMIFS(Invoices!$E$6:$E$505,Invoices!$C$6:$C$505,$A15,Invoices!$B$6:$B$505,"&gt;="&amp;G$5,Invoices!$B$6:$B$505,"&lt;="&amp;EOMONTH(G$5,0))))</f>
        <v/>
      </c>
      <c r="H15" s="35" t="str">
        <f aca="false">IF($A15="","",IF(Settings!$C$11="Paid",SUMIFS(Invoices!$I$6:$I$505,Invoices!$C$6:$C$505,$A15,Invoices!$H$6:$H$505,"&gt;="&amp;H$5,Invoices!$H$6:$H$505,"&lt;="&amp;EOMONTH(H$5,0)),SUMIFS(Invoices!$E$6:$E$505,Invoices!$C$6:$C$505,$A15,Invoices!$B$6:$B$505,"&gt;="&amp;H$5,Invoices!$B$6:$B$505,"&lt;="&amp;EOMONTH(H$5,0))))</f>
        <v/>
      </c>
      <c r="I15" s="35" t="str">
        <f aca="false">IF($A15="","",IF(Settings!$C$11="Paid",SUMIFS(Invoices!$I$6:$I$505,Invoices!$C$6:$C$505,$A15,Invoices!$H$6:$H$505,"&gt;="&amp;I$5,Invoices!$H$6:$H$505,"&lt;="&amp;EOMONTH(I$5,0)),SUMIFS(Invoices!$E$6:$E$505,Invoices!$C$6:$C$505,$A15,Invoices!$B$6:$B$505,"&gt;="&amp;I$5,Invoices!$B$6:$B$505,"&lt;="&amp;EOMONTH(I$5,0))))</f>
        <v/>
      </c>
      <c r="J15" s="35" t="str">
        <f aca="false">IF($A15="","",IF(Settings!$C$11="Paid",SUMIFS(Invoices!$I$6:$I$505,Invoices!$C$6:$C$505,$A15,Invoices!$H$6:$H$505,"&gt;="&amp;J$5,Invoices!$H$6:$H$505,"&lt;="&amp;EOMONTH(J$5,0)),SUMIFS(Invoices!$E$6:$E$505,Invoices!$C$6:$C$505,$A15,Invoices!$B$6:$B$505,"&gt;="&amp;J$5,Invoices!$B$6:$B$505,"&lt;="&amp;EOMONTH(J$5,0))))</f>
        <v/>
      </c>
      <c r="K15" s="35" t="str">
        <f aca="false">IF($A15="","",IF(Settings!$C$11="Paid",SUMIFS(Invoices!$I$6:$I$505,Invoices!$C$6:$C$505,$A15,Invoices!$H$6:$H$505,"&gt;="&amp;K$5,Invoices!$H$6:$H$505,"&lt;="&amp;EOMONTH(K$5,0)),SUMIFS(Invoices!$E$6:$E$505,Invoices!$C$6:$C$505,$A15,Invoices!$B$6:$B$505,"&gt;="&amp;K$5,Invoices!$B$6:$B$505,"&lt;="&amp;EOMONTH(K$5,0))))</f>
        <v/>
      </c>
      <c r="L15" s="35" t="str">
        <f aca="false">IF($A15="","",IF(Settings!$C$11="Paid",SUMIFS(Invoices!$I$6:$I$505,Invoices!$C$6:$C$505,$A15,Invoices!$H$6:$H$505,"&gt;="&amp;L$5,Invoices!$H$6:$H$505,"&lt;="&amp;EOMONTH(L$5,0)),SUMIFS(Invoices!$E$6:$E$505,Invoices!$C$6:$C$505,$A15,Invoices!$B$6:$B$505,"&gt;="&amp;L$5,Invoices!$B$6:$B$505,"&lt;="&amp;EOMONTH(L$5,0))))</f>
        <v/>
      </c>
      <c r="M15" s="35" t="str">
        <f aca="false">IF($A15="","",IF(Settings!$C$11="Paid",SUMIFS(Invoices!$I$6:$I$505,Invoices!$C$6:$C$505,$A15,Invoices!$H$6:$H$505,"&gt;="&amp;M$5,Invoices!$H$6:$H$505,"&lt;="&amp;EOMONTH(M$5,0)),SUMIFS(Invoices!$E$6:$E$505,Invoices!$C$6:$C$505,$A15,Invoices!$B$6:$B$505,"&gt;="&amp;M$5,Invoices!$B$6:$B$505,"&lt;="&amp;EOMONTH(M$5,0))))</f>
        <v/>
      </c>
      <c r="N15" s="55" t="str">
        <f aca="false">IF($A15="","",SUM(B15:M15))</f>
        <v/>
      </c>
      <c r="O15" s="37" t="str">
        <f aca="false">IF(OR($A15="",N($N$28)=0),"",N15/$N$28)</f>
        <v/>
      </c>
    </row>
    <row r="16" customFormat="false" ht="15" hidden="false" customHeight="false" outlineLevel="0" collapsed="false">
      <c r="A16" s="78" t="str">
        <f aca="false">IF(Clients!B15="","",Clients!B15)</f>
        <v/>
      </c>
      <c r="B16" s="35" t="str">
        <f aca="false">IF($A16="","",IF(Settings!$C$11="Paid",SUMIFS(Invoices!$I$6:$I$505,Invoices!$C$6:$C$505,$A16,Invoices!$H$6:$H$505,"&gt;="&amp;B$5,Invoices!$H$6:$H$505,"&lt;="&amp;EOMONTH(B$5,0)),SUMIFS(Invoices!$E$6:$E$505,Invoices!$C$6:$C$505,$A16,Invoices!$B$6:$B$505,"&gt;="&amp;B$5,Invoices!$B$6:$B$505,"&lt;="&amp;EOMONTH(B$5,0))))</f>
        <v/>
      </c>
      <c r="C16" s="35" t="str">
        <f aca="false">IF($A16="","",IF(Settings!$C$11="Paid",SUMIFS(Invoices!$I$6:$I$505,Invoices!$C$6:$C$505,$A16,Invoices!$H$6:$H$505,"&gt;="&amp;C$5,Invoices!$H$6:$H$505,"&lt;="&amp;EOMONTH(C$5,0)),SUMIFS(Invoices!$E$6:$E$505,Invoices!$C$6:$C$505,$A16,Invoices!$B$6:$B$505,"&gt;="&amp;C$5,Invoices!$B$6:$B$505,"&lt;="&amp;EOMONTH(C$5,0))))</f>
        <v/>
      </c>
      <c r="D16" s="35" t="str">
        <f aca="false">IF($A16="","",IF(Settings!$C$11="Paid",SUMIFS(Invoices!$I$6:$I$505,Invoices!$C$6:$C$505,$A16,Invoices!$H$6:$H$505,"&gt;="&amp;D$5,Invoices!$H$6:$H$505,"&lt;="&amp;EOMONTH(D$5,0)),SUMIFS(Invoices!$E$6:$E$505,Invoices!$C$6:$C$505,$A16,Invoices!$B$6:$B$505,"&gt;="&amp;D$5,Invoices!$B$6:$B$505,"&lt;="&amp;EOMONTH(D$5,0))))</f>
        <v/>
      </c>
      <c r="E16" s="35" t="str">
        <f aca="false">IF($A16="","",IF(Settings!$C$11="Paid",SUMIFS(Invoices!$I$6:$I$505,Invoices!$C$6:$C$505,$A16,Invoices!$H$6:$H$505,"&gt;="&amp;E$5,Invoices!$H$6:$H$505,"&lt;="&amp;EOMONTH(E$5,0)),SUMIFS(Invoices!$E$6:$E$505,Invoices!$C$6:$C$505,$A16,Invoices!$B$6:$B$505,"&gt;="&amp;E$5,Invoices!$B$6:$B$505,"&lt;="&amp;EOMONTH(E$5,0))))</f>
        <v/>
      </c>
      <c r="F16" s="35" t="str">
        <f aca="false">IF($A16="","",IF(Settings!$C$11="Paid",SUMIFS(Invoices!$I$6:$I$505,Invoices!$C$6:$C$505,$A16,Invoices!$H$6:$H$505,"&gt;="&amp;F$5,Invoices!$H$6:$H$505,"&lt;="&amp;EOMONTH(F$5,0)),SUMIFS(Invoices!$E$6:$E$505,Invoices!$C$6:$C$505,$A16,Invoices!$B$6:$B$505,"&gt;="&amp;F$5,Invoices!$B$6:$B$505,"&lt;="&amp;EOMONTH(F$5,0))))</f>
        <v/>
      </c>
      <c r="G16" s="35" t="str">
        <f aca="false">IF($A16="","",IF(Settings!$C$11="Paid",SUMIFS(Invoices!$I$6:$I$505,Invoices!$C$6:$C$505,$A16,Invoices!$H$6:$H$505,"&gt;="&amp;G$5,Invoices!$H$6:$H$505,"&lt;="&amp;EOMONTH(G$5,0)),SUMIFS(Invoices!$E$6:$E$505,Invoices!$C$6:$C$505,$A16,Invoices!$B$6:$B$505,"&gt;="&amp;G$5,Invoices!$B$6:$B$505,"&lt;="&amp;EOMONTH(G$5,0))))</f>
        <v/>
      </c>
      <c r="H16" s="35" t="str">
        <f aca="false">IF($A16="","",IF(Settings!$C$11="Paid",SUMIFS(Invoices!$I$6:$I$505,Invoices!$C$6:$C$505,$A16,Invoices!$H$6:$H$505,"&gt;="&amp;H$5,Invoices!$H$6:$H$505,"&lt;="&amp;EOMONTH(H$5,0)),SUMIFS(Invoices!$E$6:$E$505,Invoices!$C$6:$C$505,$A16,Invoices!$B$6:$B$505,"&gt;="&amp;H$5,Invoices!$B$6:$B$505,"&lt;="&amp;EOMONTH(H$5,0))))</f>
        <v/>
      </c>
      <c r="I16" s="35" t="str">
        <f aca="false">IF($A16="","",IF(Settings!$C$11="Paid",SUMIFS(Invoices!$I$6:$I$505,Invoices!$C$6:$C$505,$A16,Invoices!$H$6:$H$505,"&gt;="&amp;I$5,Invoices!$H$6:$H$505,"&lt;="&amp;EOMONTH(I$5,0)),SUMIFS(Invoices!$E$6:$E$505,Invoices!$C$6:$C$505,$A16,Invoices!$B$6:$B$505,"&gt;="&amp;I$5,Invoices!$B$6:$B$505,"&lt;="&amp;EOMONTH(I$5,0))))</f>
        <v/>
      </c>
      <c r="J16" s="35" t="str">
        <f aca="false">IF($A16="","",IF(Settings!$C$11="Paid",SUMIFS(Invoices!$I$6:$I$505,Invoices!$C$6:$C$505,$A16,Invoices!$H$6:$H$505,"&gt;="&amp;J$5,Invoices!$H$6:$H$505,"&lt;="&amp;EOMONTH(J$5,0)),SUMIFS(Invoices!$E$6:$E$505,Invoices!$C$6:$C$505,$A16,Invoices!$B$6:$B$505,"&gt;="&amp;J$5,Invoices!$B$6:$B$505,"&lt;="&amp;EOMONTH(J$5,0))))</f>
        <v/>
      </c>
      <c r="K16" s="35" t="str">
        <f aca="false">IF($A16="","",IF(Settings!$C$11="Paid",SUMIFS(Invoices!$I$6:$I$505,Invoices!$C$6:$C$505,$A16,Invoices!$H$6:$H$505,"&gt;="&amp;K$5,Invoices!$H$6:$H$505,"&lt;="&amp;EOMONTH(K$5,0)),SUMIFS(Invoices!$E$6:$E$505,Invoices!$C$6:$C$505,$A16,Invoices!$B$6:$B$505,"&gt;="&amp;K$5,Invoices!$B$6:$B$505,"&lt;="&amp;EOMONTH(K$5,0))))</f>
        <v/>
      </c>
      <c r="L16" s="35" t="str">
        <f aca="false">IF($A16="","",IF(Settings!$C$11="Paid",SUMIFS(Invoices!$I$6:$I$505,Invoices!$C$6:$C$505,$A16,Invoices!$H$6:$H$505,"&gt;="&amp;L$5,Invoices!$H$6:$H$505,"&lt;="&amp;EOMONTH(L$5,0)),SUMIFS(Invoices!$E$6:$E$505,Invoices!$C$6:$C$505,$A16,Invoices!$B$6:$B$505,"&gt;="&amp;L$5,Invoices!$B$6:$B$505,"&lt;="&amp;EOMONTH(L$5,0))))</f>
        <v/>
      </c>
      <c r="M16" s="35" t="str">
        <f aca="false">IF($A16="","",IF(Settings!$C$11="Paid",SUMIFS(Invoices!$I$6:$I$505,Invoices!$C$6:$C$505,$A16,Invoices!$H$6:$H$505,"&gt;="&amp;M$5,Invoices!$H$6:$H$505,"&lt;="&amp;EOMONTH(M$5,0)),SUMIFS(Invoices!$E$6:$E$505,Invoices!$C$6:$C$505,$A16,Invoices!$B$6:$B$505,"&gt;="&amp;M$5,Invoices!$B$6:$B$505,"&lt;="&amp;EOMONTH(M$5,0))))</f>
        <v/>
      </c>
      <c r="N16" s="55" t="str">
        <f aca="false">IF($A16="","",SUM(B16:M16))</f>
        <v/>
      </c>
      <c r="O16" s="37" t="str">
        <f aca="false">IF(OR($A16="",N($N$28)=0),"",N16/$N$28)</f>
        <v/>
      </c>
    </row>
    <row r="17" customFormat="false" ht="15" hidden="false" customHeight="false" outlineLevel="0" collapsed="false">
      <c r="A17" s="78" t="str">
        <f aca="false">IF(Clients!B16="","",Clients!B16)</f>
        <v/>
      </c>
      <c r="B17" s="35" t="str">
        <f aca="false">IF($A17="","",IF(Settings!$C$11="Paid",SUMIFS(Invoices!$I$6:$I$505,Invoices!$C$6:$C$505,$A17,Invoices!$H$6:$H$505,"&gt;="&amp;B$5,Invoices!$H$6:$H$505,"&lt;="&amp;EOMONTH(B$5,0)),SUMIFS(Invoices!$E$6:$E$505,Invoices!$C$6:$C$505,$A17,Invoices!$B$6:$B$505,"&gt;="&amp;B$5,Invoices!$B$6:$B$505,"&lt;="&amp;EOMONTH(B$5,0))))</f>
        <v/>
      </c>
      <c r="C17" s="35" t="str">
        <f aca="false">IF($A17="","",IF(Settings!$C$11="Paid",SUMIFS(Invoices!$I$6:$I$505,Invoices!$C$6:$C$505,$A17,Invoices!$H$6:$H$505,"&gt;="&amp;C$5,Invoices!$H$6:$H$505,"&lt;="&amp;EOMONTH(C$5,0)),SUMIFS(Invoices!$E$6:$E$505,Invoices!$C$6:$C$505,$A17,Invoices!$B$6:$B$505,"&gt;="&amp;C$5,Invoices!$B$6:$B$505,"&lt;="&amp;EOMONTH(C$5,0))))</f>
        <v/>
      </c>
      <c r="D17" s="35" t="str">
        <f aca="false">IF($A17="","",IF(Settings!$C$11="Paid",SUMIFS(Invoices!$I$6:$I$505,Invoices!$C$6:$C$505,$A17,Invoices!$H$6:$H$505,"&gt;="&amp;D$5,Invoices!$H$6:$H$505,"&lt;="&amp;EOMONTH(D$5,0)),SUMIFS(Invoices!$E$6:$E$505,Invoices!$C$6:$C$505,$A17,Invoices!$B$6:$B$505,"&gt;="&amp;D$5,Invoices!$B$6:$B$505,"&lt;="&amp;EOMONTH(D$5,0))))</f>
        <v/>
      </c>
      <c r="E17" s="35" t="str">
        <f aca="false">IF($A17="","",IF(Settings!$C$11="Paid",SUMIFS(Invoices!$I$6:$I$505,Invoices!$C$6:$C$505,$A17,Invoices!$H$6:$H$505,"&gt;="&amp;E$5,Invoices!$H$6:$H$505,"&lt;="&amp;EOMONTH(E$5,0)),SUMIFS(Invoices!$E$6:$E$505,Invoices!$C$6:$C$505,$A17,Invoices!$B$6:$B$505,"&gt;="&amp;E$5,Invoices!$B$6:$B$505,"&lt;="&amp;EOMONTH(E$5,0))))</f>
        <v/>
      </c>
      <c r="F17" s="35" t="str">
        <f aca="false">IF($A17="","",IF(Settings!$C$11="Paid",SUMIFS(Invoices!$I$6:$I$505,Invoices!$C$6:$C$505,$A17,Invoices!$H$6:$H$505,"&gt;="&amp;F$5,Invoices!$H$6:$H$505,"&lt;="&amp;EOMONTH(F$5,0)),SUMIFS(Invoices!$E$6:$E$505,Invoices!$C$6:$C$505,$A17,Invoices!$B$6:$B$505,"&gt;="&amp;F$5,Invoices!$B$6:$B$505,"&lt;="&amp;EOMONTH(F$5,0))))</f>
        <v/>
      </c>
      <c r="G17" s="35" t="str">
        <f aca="false">IF($A17="","",IF(Settings!$C$11="Paid",SUMIFS(Invoices!$I$6:$I$505,Invoices!$C$6:$C$505,$A17,Invoices!$H$6:$H$505,"&gt;="&amp;G$5,Invoices!$H$6:$H$505,"&lt;="&amp;EOMONTH(G$5,0)),SUMIFS(Invoices!$E$6:$E$505,Invoices!$C$6:$C$505,$A17,Invoices!$B$6:$B$505,"&gt;="&amp;G$5,Invoices!$B$6:$B$505,"&lt;="&amp;EOMONTH(G$5,0))))</f>
        <v/>
      </c>
      <c r="H17" s="35" t="str">
        <f aca="false">IF($A17="","",IF(Settings!$C$11="Paid",SUMIFS(Invoices!$I$6:$I$505,Invoices!$C$6:$C$505,$A17,Invoices!$H$6:$H$505,"&gt;="&amp;H$5,Invoices!$H$6:$H$505,"&lt;="&amp;EOMONTH(H$5,0)),SUMIFS(Invoices!$E$6:$E$505,Invoices!$C$6:$C$505,$A17,Invoices!$B$6:$B$505,"&gt;="&amp;H$5,Invoices!$B$6:$B$505,"&lt;="&amp;EOMONTH(H$5,0))))</f>
        <v/>
      </c>
      <c r="I17" s="35" t="str">
        <f aca="false">IF($A17="","",IF(Settings!$C$11="Paid",SUMIFS(Invoices!$I$6:$I$505,Invoices!$C$6:$C$505,$A17,Invoices!$H$6:$H$505,"&gt;="&amp;I$5,Invoices!$H$6:$H$505,"&lt;="&amp;EOMONTH(I$5,0)),SUMIFS(Invoices!$E$6:$E$505,Invoices!$C$6:$C$505,$A17,Invoices!$B$6:$B$505,"&gt;="&amp;I$5,Invoices!$B$6:$B$505,"&lt;="&amp;EOMONTH(I$5,0))))</f>
        <v/>
      </c>
      <c r="J17" s="35" t="str">
        <f aca="false">IF($A17="","",IF(Settings!$C$11="Paid",SUMIFS(Invoices!$I$6:$I$505,Invoices!$C$6:$C$505,$A17,Invoices!$H$6:$H$505,"&gt;="&amp;J$5,Invoices!$H$6:$H$505,"&lt;="&amp;EOMONTH(J$5,0)),SUMIFS(Invoices!$E$6:$E$505,Invoices!$C$6:$C$505,$A17,Invoices!$B$6:$B$505,"&gt;="&amp;J$5,Invoices!$B$6:$B$505,"&lt;="&amp;EOMONTH(J$5,0))))</f>
        <v/>
      </c>
      <c r="K17" s="35" t="str">
        <f aca="false">IF($A17="","",IF(Settings!$C$11="Paid",SUMIFS(Invoices!$I$6:$I$505,Invoices!$C$6:$C$505,$A17,Invoices!$H$6:$H$505,"&gt;="&amp;K$5,Invoices!$H$6:$H$505,"&lt;="&amp;EOMONTH(K$5,0)),SUMIFS(Invoices!$E$6:$E$505,Invoices!$C$6:$C$505,$A17,Invoices!$B$6:$B$505,"&gt;="&amp;K$5,Invoices!$B$6:$B$505,"&lt;="&amp;EOMONTH(K$5,0))))</f>
        <v/>
      </c>
      <c r="L17" s="35" t="str">
        <f aca="false">IF($A17="","",IF(Settings!$C$11="Paid",SUMIFS(Invoices!$I$6:$I$505,Invoices!$C$6:$C$505,$A17,Invoices!$H$6:$H$505,"&gt;="&amp;L$5,Invoices!$H$6:$H$505,"&lt;="&amp;EOMONTH(L$5,0)),SUMIFS(Invoices!$E$6:$E$505,Invoices!$C$6:$C$505,$A17,Invoices!$B$6:$B$505,"&gt;="&amp;L$5,Invoices!$B$6:$B$505,"&lt;="&amp;EOMONTH(L$5,0))))</f>
        <v/>
      </c>
      <c r="M17" s="35" t="str">
        <f aca="false">IF($A17="","",IF(Settings!$C$11="Paid",SUMIFS(Invoices!$I$6:$I$505,Invoices!$C$6:$C$505,$A17,Invoices!$H$6:$H$505,"&gt;="&amp;M$5,Invoices!$H$6:$H$505,"&lt;="&amp;EOMONTH(M$5,0)),SUMIFS(Invoices!$E$6:$E$505,Invoices!$C$6:$C$505,$A17,Invoices!$B$6:$B$505,"&gt;="&amp;M$5,Invoices!$B$6:$B$505,"&lt;="&amp;EOMONTH(M$5,0))))</f>
        <v/>
      </c>
      <c r="N17" s="55" t="str">
        <f aca="false">IF($A17="","",SUM(B17:M17))</f>
        <v/>
      </c>
      <c r="O17" s="37" t="str">
        <f aca="false">IF(OR($A17="",N($N$28)=0),"",N17/$N$28)</f>
        <v/>
      </c>
    </row>
    <row r="18" customFormat="false" ht="15" hidden="false" customHeight="false" outlineLevel="0" collapsed="false">
      <c r="A18" s="78" t="str">
        <f aca="false">IF(Clients!B17="","",Clients!B17)</f>
        <v/>
      </c>
      <c r="B18" s="35" t="str">
        <f aca="false">IF($A18="","",IF(Settings!$C$11="Paid",SUMIFS(Invoices!$I$6:$I$505,Invoices!$C$6:$C$505,$A18,Invoices!$H$6:$H$505,"&gt;="&amp;B$5,Invoices!$H$6:$H$505,"&lt;="&amp;EOMONTH(B$5,0)),SUMIFS(Invoices!$E$6:$E$505,Invoices!$C$6:$C$505,$A18,Invoices!$B$6:$B$505,"&gt;="&amp;B$5,Invoices!$B$6:$B$505,"&lt;="&amp;EOMONTH(B$5,0))))</f>
        <v/>
      </c>
      <c r="C18" s="35" t="str">
        <f aca="false">IF($A18="","",IF(Settings!$C$11="Paid",SUMIFS(Invoices!$I$6:$I$505,Invoices!$C$6:$C$505,$A18,Invoices!$H$6:$H$505,"&gt;="&amp;C$5,Invoices!$H$6:$H$505,"&lt;="&amp;EOMONTH(C$5,0)),SUMIFS(Invoices!$E$6:$E$505,Invoices!$C$6:$C$505,$A18,Invoices!$B$6:$B$505,"&gt;="&amp;C$5,Invoices!$B$6:$B$505,"&lt;="&amp;EOMONTH(C$5,0))))</f>
        <v/>
      </c>
      <c r="D18" s="35" t="str">
        <f aca="false">IF($A18="","",IF(Settings!$C$11="Paid",SUMIFS(Invoices!$I$6:$I$505,Invoices!$C$6:$C$505,$A18,Invoices!$H$6:$H$505,"&gt;="&amp;D$5,Invoices!$H$6:$H$505,"&lt;="&amp;EOMONTH(D$5,0)),SUMIFS(Invoices!$E$6:$E$505,Invoices!$C$6:$C$505,$A18,Invoices!$B$6:$B$505,"&gt;="&amp;D$5,Invoices!$B$6:$B$505,"&lt;="&amp;EOMONTH(D$5,0))))</f>
        <v/>
      </c>
      <c r="E18" s="35" t="str">
        <f aca="false">IF($A18="","",IF(Settings!$C$11="Paid",SUMIFS(Invoices!$I$6:$I$505,Invoices!$C$6:$C$505,$A18,Invoices!$H$6:$H$505,"&gt;="&amp;E$5,Invoices!$H$6:$H$505,"&lt;="&amp;EOMONTH(E$5,0)),SUMIFS(Invoices!$E$6:$E$505,Invoices!$C$6:$C$505,$A18,Invoices!$B$6:$B$505,"&gt;="&amp;E$5,Invoices!$B$6:$B$505,"&lt;="&amp;EOMONTH(E$5,0))))</f>
        <v/>
      </c>
      <c r="F18" s="35" t="str">
        <f aca="false">IF($A18="","",IF(Settings!$C$11="Paid",SUMIFS(Invoices!$I$6:$I$505,Invoices!$C$6:$C$505,$A18,Invoices!$H$6:$H$505,"&gt;="&amp;F$5,Invoices!$H$6:$H$505,"&lt;="&amp;EOMONTH(F$5,0)),SUMIFS(Invoices!$E$6:$E$505,Invoices!$C$6:$C$505,$A18,Invoices!$B$6:$B$505,"&gt;="&amp;F$5,Invoices!$B$6:$B$505,"&lt;="&amp;EOMONTH(F$5,0))))</f>
        <v/>
      </c>
      <c r="G18" s="35" t="str">
        <f aca="false">IF($A18="","",IF(Settings!$C$11="Paid",SUMIFS(Invoices!$I$6:$I$505,Invoices!$C$6:$C$505,$A18,Invoices!$H$6:$H$505,"&gt;="&amp;G$5,Invoices!$H$6:$H$505,"&lt;="&amp;EOMONTH(G$5,0)),SUMIFS(Invoices!$E$6:$E$505,Invoices!$C$6:$C$505,$A18,Invoices!$B$6:$B$505,"&gt;="&amp;G$5,Invoices!$B$6:$B$505,"&lt;="&amp;EOMONTH(G$5,0))))</f>
        <v/>
      </c>
      <c r="H18" s="35" t="str">
        <f aca="false">IF($A18="","",IF(Settings!$C$11="Paid",SUMIFS(Invoices!$I$6:$I$505,Invoices!$C$6:$C$505,$A18,Invoices!$H$6:$H$505,"&gt;="&amp;H$5,Invoices!$H$6:$H$505,"&lt;="&amp;EOMONTH(H$5,0)),SUMIFS(Invoices!$E$6:$E$505,Invoices!$C$6:$C$505,$A18,Invoices!$B$6:$B$505,"&gt;="&amp;H$5,Invoices!$B$6:$B$505,"&lt;="&amp;EOMONTH(H$5,0))))</f>
        <v/>
      </c>
      <c r="I18" s="35" t="str">
        <f aca="false">IF($A18="","",IF(Settings!$C$11="Paid",SUMIFS(Invoices!$I$6:$I$505,Invoices!$C$6:$C$505,$A18,Invoices!$H$6:$H$505,"&gt;="&amp;I$5,Invoices!$H$6:$H$505,"&lt;="&amp;EOMONTH(I$5,0)),SUMIFS(Invoices!$E$6:$E$505,Invoices!$C$6:$C$505,$A18,Invoices!$B$6:$B$505,"&gt;="&amp;I$5,Invoices!$B$6:$B$505,"&lt;="&amp;EOMONTH(I$5,0))))</f>
        <v/>
      </c>
      <c r="J18" s="35" t="str">
        <f aca="false">IF($A18="","",IF(Settings!$C$11="Paid",SUMIFS(Invoices!$I$6:$I$505,Invoices!$C$6:$C$505,$A18,Invoices!$H$6:$H$505,"&gt;="&amp;J$5,Invoices!$H$6:$H$505,"&lt;="&amp;EOMONTH(J$5,0)),SUMIFS(Invoices!$E$6:$E$505,Invoices!$C$6:$C$505,$A18,Invoices!$B$6:$B$505,"&gt;="&amp;J$5,Invoices!$B$6:$B$505,"&lt;="&amp;EOMONTH(J$5,0))))</f>
        <v/>
      </c>
      <c r="K18" s="35" t="str">
        <f aca="false">IF($A18="","",IF(Settings!$C$11="Paid",SUMIFS(Invoices!$I$6:$I$505,Invoices!$C$6:$C$505,$A18,Invoices!$H$6:$H$505,"&gt;="&amp;K$5,Invoices!$H$6:$H$505,"&lt;="&amp;EOMONTH(K$5,0)),SUMIFS(Invoices!$E$6:$E$505,Invoices!$C$6:$C$505,$A18,Invoices!$B$6:$B$505,"&gt;="&amp;K$5,Invoices!$B$6:$B$505,"&lt;="&amp;EOMONTH(K$5,0))))</f>
        <v/>
      </c>
      <c r="L18" s="35" t="str">
        <f aca="false">IF($A18="","",IF(Settings!$C$11="Paid",SUMIFS(Invoices!$I$6:$I$505,Invoices!$C$6:$C$505,$A18,Invoices!$H$6:$H$505,"&gt;="&amp;L$5,Invoices!$H$6:$H$505,"&lt;="&amp;EOMONTH(L$5,0)),SUMIFS(Invoices!$E$6:$E$505,Invoices!$C$6:$C$505,$A18,Invoices!$B$6:$B$505,"&gt;="&amp;L$5,Invoices!$B$6:$B$505,"&lt;="&amp;EOMONTH(L$5,0))))</f>
        <v/>
      </c>
      <c r="M18" s="35" t="str">
        <f aca="false">IF($A18="","",IF(Settings!$C$11="Paid",SUMIFS(Invoices!$I$6:$I$505,Invoices!$C$6:$C$505,$A18,Invoices!$H$6:$H$505,"&gt;="&amp;M$5,Invoices!$H$6:$H$505,"&lt;="&amp;EOMONTH(M$5,0)),SUMIFS(Invoices!$E$6:$E$505,Invoices!$C$6:$C$505,$A18,Invoices!$B$6:$B$505,"&gt;="&amp;M$5,Invoices!$B$6:$B$505,"&lt;="&amp;EOMONTH(M$5,0))))</f>
        <v/>
      </c>
      <c r="N18" s="55" t="str">
        <f aca="false">IF($A18="","",SUM(B18:M18))</f>
        <v/>
      </c>
      <c r="O18" s="37" t="str">
        <f aca="false">IF(OR($A18="",N($N$28)=0),"",N18/$N$28)</f>
        <v/>
      </c>
    </row>
    <row r="19" customFormat="false" ht="15" hidden="false" customHeight="false" outlineLevel="0" collapsed="false">
      <c r="A19" s="78" t="str">
        <f aca="false">IF(Clients!B18="","",Clients!B18)</f>
        <v/>
      </c>
      <c r="B19" s="35" t="str">
        <f aca="false">IF($A19="","",IF(Settings!$C$11="Paid",SUMIFS(Invoices!$I$6:$I$505,Invoices!$C$6:$C$505,$A19,Invoices!$H$6:$H$505,"&gt;="&amp;B$5,Invoices!$H$6:$H$505,"&lt;="&amp;EOMONTH(B$5,0)),SUMIFS(Invoices!$E$6:$E$505,Invoices!$C$6:$C$505,$A19,Invoices!$B$6:$B$505,"&gt;="&amp;B$5,Invoices!$B$6:$B$505,"&lt;="&amp;EOMONTH(B$5,0))))</f>
        <v/>
      </c>
      <c r="C19" s="35" t="str">
        <f aca="false">IF($A19="","",IF(Settings!$C$11="Paid",SUMIFS(Invoices!$I$6:$I$505,Invoices!$C$6:$C$505,$A19,Invoices!$H$6:$H$505,"&gt;="&amp;C$5,Invoices!$H$6:$H$505,"&lt;="&amp;EOMONTH(C$5,0)),SUMIFS(Invoices!$E$6:$E$505,Invoices!$C$6:$C$505,$A19,Invoices!$B$6:$B$505,"&gt;="&amp;C$5,Invoices!$B$6:$B$505,"&lt;="&amp;EOMONTH(C$5,0))))</f>
        <v/>
      </c>
      <c r="D19" s="35" t="str">
        <f aca="false">IF($A19="","",IF(Settings!$C$11="Paid",SUMIFS(Invoices!$I$6:$I$505,Invoices!$C$6:$C$505,$A19,Invoices!$H$6:$H$505,"&gt;="&amp;D$5,Invoices!$H$6:$H$505,"&lt;="&amp;EOMONTH(D$5,0)),SUMIFS(Invoices!$E$6:$E$505,Invoices!$C$6:$C$505,$A19,Invoices!$B$6:$B$505,"&gt;="&amp;D$5,Invoices!$B$6:$B$505,"&lt;="&amp;EOMONTH(D$5,0))))</f>
        <v/>
      </c>
      <c r="E19" s="35" t="str">
        <f aca="false">IF($A19="","",IF(Settings!$C$11="Paid",SUMIFS(Invoices!$I$6:$I$505,Invoices!$C$6:$C$505,$A19,Invoices!$H$6:$H$505,"&gt;="&amp;E$5,Invoices!$H$6:$H$505,"&lt;="&amp;EOMONTH(E$5,0)),SUMIFS(Invoices!$E$6:$E$505,Invoices!$C$6:$C$505,$A19,Invoices!$B$6:$B$505,"&gt;="&amp;E$5,Invoices!$B$6:$B$505,"&lt;="&amp;EOMONTH(E$5,0))))</f>
        <v/>
      </c>
      <c r="F19" s="35" t="str">
        <f aca="false">IF($A19="","",IF(Settings!$C$11="Paid",SUMIFS(Invoices!$I$6:$I$505,Invoices!$C$6:$C$505,$A19,Invoices!$H$6:$H$505,"&gt;="&amp;F$5,Invoices!$H$6:$H$505,"&lt;="&amp;EOMONTH(F$5,0)),SUMIFS(Invoices!$E$6:$E$505,Invoices!$C$6:$C$505,$A19,Invoices!$B$6:$B$505,"&gt;="&amp;F$5,Invoices!$B$6:$B$505,"&lt;="&amp;EOMONTH(F$5,0))))</f>
        <v/>
      </c>
      <c r="G19" s="35" t="str">
        <f aca="false">IF($A19="","",IF(Settings!$C$11="Paid",SUMIFS(Invoices!$I$6:$I$505,Invoices!$C$6:$C$505,$A19,Invoices!$H$6:$H$505,"&gt;="&amp;G$5,Invoices!$H$6:$H$505,"&lt;="&amp;EOMONTH(G$5,0)),SUMIFS(Invoices!$E$6:$E$505,Invoices!$C$6:$C$505,$A19,Invoices!$B$6:$B$505,"&gt;="&amp;G$5,Invoices!$B$6:$B$505,"&lt;="&amp;EOMONTH(G$5,0))))</f>
        <v/>
      </c>
      <c r="H19" s="35" t="str">
        <f aca="false">IF($A19="","",IF(Settings!$C$11="Paid",SUMIFS(Invoices!$I$6:$I$505,Invoices!$C$6:$C$505,$A19,Invoices!$H$6:$H$505,"&gt;="&amp;H$5,Invoices!$H$6:$H$505,"&lt;="&amp;EOMONTH(H$5,0)),SUMIFS(Invoices!$E$6:$E$505,Invoices!$C$6:$C$505,$A19,Invoices!$B$6:$B$505,"&gt;="&amp;H$5,Invoices!$B$6:$B$505,"&lt;="&amp;EOMONTH(H$5,0))))</f>
        <v/>
      </c>
      <c r="I19" s="35" t="str">
        <f aca="false">IF($A19="","",IF(Settings!$C$11="Paid",SUMIFS(Invoices!$I$6:$I$505,Invoices!$C$6:$C$505,$A19,Invoices!$H$6:$H$505,"&gt;="&amp;I$5,Invoices!$H$6:$H$505,"&lt;="&amp;EOMONTH(I$5,0)),SUMIFS(Invoices!$E$6:$E$505,Invoices!$C$6:$C$505,$A19,Invoices!$B$6:$B$505,"&gt;="&amp;I$5,Invoices!$B$6:$B$505,"&lt;="&amp;EOMONTH(I$5,0))))</f>
        <v/>
      </c>
      <c r="J19" s="35" t="str">
        <f aca="false">IF($A19="","",IF(Settings!$C$11="Paid",SUMIFS(Invoices!$I$6:$I$505,Invoices!$C$6:$C$505,$A19,Invoices!$H$6:$H$505,"&gt;="&amp;J$5,Invoices!$H$6:$H$505,"&lt;="&amp;EOMONTH(J$5,0)),SUMIFS(Invoices!$E$6:$E$505,Invoices!$C$6:$C$505,$A19,Invoices!$B$6:$B$505,"&gt;="&amp;J$5,Invoices!$B$6:$B$505,"&lt;="&amp;EOMONTH(J$5,0))))</f>
        <v/>
      </c>
      <c r="K19" s="35" t="str">
        <f aca="false">IF($A19="","",IF(Settings!$C$11="Paid",SUMIFS(Invoices!$I$6:$I$505,Invoices!$C$6:$C$505,$A19,Invoices!$H$6:$H$505,"&gt;="&amp;K$5,Invoices!$H$6:$H$505,"&lt;="&amp;EOMONTH(K$5,0)),SUMIFS(Invoices!$E$6:$E$505,Invoices!$C$6:$C$505,$A19,Invoices!$B$6:$B$505,"&gt;="&amp;K$5,Invoices!$B$6:$B$505,"&lt;="&amp;EOMONTH(K$5,0))))</f>
        <v/>
      </c>
      <c r="L19" s="35" t="str">
        <f aca="false">IF($A19="","",IF(Settings!$C$11="Paid",SUMIFS(Invoices!$I$6:$I$505,Invoices!$C$6:$C$505,$A19,Invoices!$H$6:$H$505,"&gt;="&amp;L$5,Invoices!$H$6:$H$505,"&lt;="&amp;EOMONTH(L$5,0)),SUMIFS(Invoices!$E$6:$E$505,Invoices!$C$6:$C$505,$A19,Invoices!$B$6:$B$505,"&gt;="&amp;L$5,Invoices!$B$6:$B$505,"&lt;="&amp;EOMONTH(L$5,0))))</f>
        <v/>
      </c>
      <c r="M19" s="35" t="str">
        <f aca="false">IF($A19="","",IF(Settings!$C$11="Paid",SUMIFS(Invoices!$I$6:$I$505,Invoices!$C$6:$C$505,$A19,Invoices!$H$6:$H$505,"&gt;="&amp;M$5,Invoices!$H$6:$H$505,"&lt;="&amp;EOMONTH(M$5,0)),SUMIFS(Invoices!$E$6:$E$505,Invoices!$C$6:$C$505,$A19,Invoices!$B$6:$B$505,"&gt;="&amp;M$5,Invoices!$B$6:$B$505,"&lt;="&amp;EOMONTH(M$5,0))))</f>
        <v/>
      </c>
      <c r="N19" s="55" t="str">
        <f aca="false">IF($A19="","",SUM(B19:M19))</f>
        <v/>
      </c>
      <c r="O19" s="37" t="str">
        <f aca="false">IF(OR($A19="",N($N$28)=0),"",N19/$N$28)</f>
        <v/>
      </c>
    </row>
    <row r="20" customFormat="false" ht="15" hidden="false" customHeight="false" outlineLevel="0" collapsed="false">
      <c r="A20" s="78" t="str">
        <f aca="false">IF(Clients!B19="","",Clients!B19)</f>
        <v/>
      </c>
      <c r="B20" s="35" t="str">
        <f aca="false">IF($A20="","",IF(Settings!$C$11="Paid",SUMIFS(Invoices!$I$6:$I$505,Invoices!$C$6:$C$505,$A20,Invoices!$H$6:$H$505,"&gt;="&amp;B$5,Invoices!$H$6:$H$505,"&lt;="&amp;EOMONTH(B$5,0)),SUMIFS(Invoices!$E$6:$E$505,Invoices!$C$6:$C$505,$A20,Invoices!$B$6:$B$505,"&gt;="&amp;B$5,Invoices!$B$6:$B$505,"&lt;="&amp;EOMONTH(B$5,0))))</f>
        <v/>
      </c>
      <c r="C20" s="35" t="str">
        <f aca="false">IF($A20="","",IF(Settings!$C$11="Paid",SUMIFS(Invoices!$I$6:$I$505,Invoices!$C$6:$C$505,$A20,Invoices!$H$6:$H$505,"&gt;="&amp;C$5,Invoices!$H$6:$H$505,"&lt;="&amp;EOMONTH(C$5,0)),SUMIFS(Invoices!$E$6:$E$505,Invoices!$C$6:$C$505,$A20,Invoices!$B$6:$B$505,"&gt;="&amp;C$5,Invoices!$B$6:$B$505,"&lt;="&amp;EOMONTH(C$5,0))))</f>
        <v/>
      </c>
      <c r="D20" s="35" t="str">
        <f aca="false">IF($A20="","",IF(Settings!$C$11="Paid",SUMIFS(Invoices!$I$6:$I$505,Invoices!$C$6:$C$505,$A20,Invoices!$H$6:$H$505,"&gt;="&amp;D$5,Invoices!$H$6:$H$505,"&lt;="&amp;EOMONTH(D$5,0)),SUMIFS(Invoices!$E$6:$E$505,Invoices!$C$6:$C$505,$A20,Invoices!$B$6:$B$505,"&gt;="&amp;D$5,Invoices!$B$6:$B$505,"&lt;="&amp;EOMONTH(D$5,0))))</f>
        <v/>
      </c>
      <c r="E20" s="35" t="str">
        <f aca="false">IF($A20="","",IF(Settings!$C$11="Paid",SUMIFS(Invoices!$I$6:$I$505,Invoices!$C$6:$C$505,$A20,Invoices!$H$6:$H$505,"&gt;="&amp;E$5,Invoices!$H$6:$H$505,"&lt;="&amp;EOMONTH(E$5,0)),SUMIFS(Invoices!$E$6:$E$505,Invoices!$C$6:$C$505,$A20,Invoices!$B$6:$B$505,"&gt;="&amp;E$5,Invoices!$B$6:$B$505,"&lt;="&amp;EOMONTH(E$5,0))))</f>
        <v/>
      </c>
      <c r="F20" s="35" t="str">
        <f aca="false">IF($A20="","",IF(Settings!$C$11="Paid",SUMIFS(Invoices!$I$6:$I$505,Invoices!$C$6:$C$505,$A20,Invoices!$H$6:$H$505,"&gt;="&amp;F$5,Invoices!$H$6:$H$505,"&lt;="&amp;EOMONTH(F$5,0)),SUMIFS(Invoices!$E$6:$E$505,Invoices!$C$6:$C$505,$A20,Invoices!$B$6:$B$505,"&gt;="&amp;F$5,Invoices!$B$6:$B$505,"&lt;="&amp;EOMONTH(F$5,0))))</f>
        <v/>
      </c>
      <c r="G20" s="35" t="str">
        <f aca="false">IF($A20="","",IF(Settings!$C$11="Paid",SUMIFS(Invoices!$I$6:$I$505,Invoices!$C$6:$C$505,$A20,Invoices!$H$6:$H$505,"&gt;="&amp;G$5,Invoices!$H$6:$H$505,"&lt;="&amp;EOMONTH(G$5,0)),SUMIFS(Invoices!$E$6:$E$505,Invoices!$C$6:$C$505,$A20,Invoices!$B$6:$B$505,"&gt;="&amp;G$5,Invoices!$B$6:$B$505,"&lt;="&amp;EOMONTH(G$5,0))))</f>
        <v/>
      </c>
      <c r="H20" s="35" t="str">
        <f aca="false">IF($A20="","",IF(Settings!$C$11="Paid",SUMIFS(Invoices!$I$6:$I$505,Invoices!$C$6:$C$505,$A20,Invoices!$H$6:$H$505,"&gt;="&amp;H$5,Invoices!$H$6:$H$505,"&lt;="&amp;EOMONTH(H$5,0)),SUMIFS(Invoices!$E$6:$E$505,Invoices!$C$6:$C$505,$A20,Invoices!$B$6:$B$505,"&gt;="&amp;H$5,Invoices!$B$6:$B$505,"&lt;="&amp;EOMONTH(H$5,0))))</f>
        <v/>
      </c>
      <c r="I20" s="35" t="str">
        <f aca="false">IF($A20="","",IF(Settings!$C$11="Paid",SUMIFS(Invoices!$I$6:$I$505,Invoices!$C$6:$C$505,$A20,Invoices!$H$6:$H$505,"&gt;="&amp;I$5,Invoices!$H$6:$H$505,"&lt;="&amp;EOMONTH(I$5,0)),SUMIFS(Invoices!$E$6:$E$505,Invoices!$C$6:$C$505,$A20,Invoices!$B$6:$B$505,"&gt;="&amp;I$5,Invoices!$B$6:$B$505,"&lt;="&amp;EOMONTH(I$5,0))))</f>
        <v/>
      </c>
      <c r="J20" s="35" t="str">
        <f aca="false">IF($A20="","",IF(Settings!$C$11="Paid",SUMIFS(Invoices!$I$6:$I$505,Invoices!$C$6:$C$505,$A20,Invoices!$H$6:$H$505,"&gt;="&amp;J$5,Invoices!$H$6:$H$505,"&lt;="&amp;EOMONTH(J$5,0)),SUMIFS(Invoices!$E$6:$E$505,Invoices!$C$6:$C$505,$A20,Invoices!$B$6:$B$505,"&gt;="&amp;J$5,Invoices!$B$6:$B$505,"&lt;="&amp;EOMONTH(J$5,0))))</f>
        <v/>
      </c>
      <c r="K20" s="35" t="str">
        <f aca="false">IF($A20="","",IF(Settings!$C$11="Paid",SUMIFS(Invoices!$I$6:$I$505,Invoices!$C$6:$C$505,$A20,Invoices!$H$6:$H$505,"&gt;="&amp;K$5,Invoices!$H$6:$H$505,"&lt;="&amp;EOMONTH(K$5,0)),SUMIFS(Invoices!$E$6:$E$505,Invoices!$C$6:$C$505,$A20,Invoices!$B$6:$B$505,"&gt;="&amp;K$5,Invoices!$B$6:$B$505,"&lt;="&amp;EOMONTH(K$5,0))))</f>
        <v/>
      </c>
      <c r="L20" s="35" t="str">
        <f aca="false">IF($A20="","",IF(Settings!$C$11="Paid",SUMIFS(Invoices!$I$6:$I$505,Invoices!$C$6:$C$505,$A20,Invoices!$H$6:$H$505,"&gt;="&amp;L$5,Invoices!$H$6:$H$505,"&lt;="&amp;EOMONTH(L$5,0)),SUMIFS(Invoices!$E$6:$E$505,Invoices!$C$6:$C$505,$A20,Invoices!$B$6:$B$505,"&gt;="&amp;L$5,Invoices!$B$6:$B$505,"&lt;="&amp;EOMONTH(L$5,0))))</f>
        <v/>
      </c>
      <c r="M20" s="35" t="str">
        <f aca="false">IF($A20="","",IF(Settings!$C$11="Paid",SUMIFS(Invoices!$I$6:$I$505,Invoices!$C$6:$C$505,$A20,Invoices!$H$6:$H$505,"&gt;="&amp;M$5,Invoices!$H$6:$H$505,"&lt;="&amp;EOMONTH(M$5,0)),SUMIFS(Invoices!$E$6:$E$505,Invoices!$C$6:$C$505,$A20,Invoices!$B$6:$B$505,"&gt;="&amp;M$5,Invoices!$B$6:$B$505,"&lt;="&amp;EOMONTH(M$5,0))))</f>
        <v/>
      </c>
      <c r="N20" s="55" t="str">
        <f aca="false">IF($A20="","",SUM(B20:M20))</f>
        <v/>
      </c>
      <c r="O20" s="37" t="str">
        <f aca="false">IF(OR($A20="",N($N$28)=0),"",N20/$N$28)</f>
        <v/>
      </c>
    </row>
    <row r="21" customFormat="false" ht="15" hidden="false" customHeight="false" outlineLevel="0" collapsed="false">
      <c r="A21" s="78" t="str">
        <f aca="false">IF(Clients!B20="","",Clients!B20)</f>
        <v/>
      </c>
      <c r="B21" s="35" t="str">
        <f aca="false">IF($A21="","",IF(Settings!$C$11="Paid",SUMIFS(Invoices!$I$6:$I$505,Invoices!$C$6:$C$505,$A21,Invoices!$H$6:$H$505,"&gt;="&amp;B$5,Invoices!$H$6:$H$505,"&lt;="&amp;EOMONTH(B$5,0)),SUMIFS(Invoices!$E$6:$E$505,Invoices!$C$6:$C$505,$A21,Invoices!$B$6:$B$505,"&gt;="&amp;B$5,Invoices!$B$6:$B$505,"&lt;="&amp;EOMONTH(B$5,0))))</f>
        <v/>
      </c>
      <c r="C21" s="35" t="str">
        <f aca="false">IF($A21="","",IF(Settings!$C$11="Paid",SUMIFS(Invoices!$I$6:$I$505,Invoices!$C$6:$C$505,$A21,Invoices!$H$6:$H$505,"&gt;="&amp;C$5,Invoices!$H$6:$H$505,"&lt;="&amp;EOMONTH(C$5,0)),SUMIFS(Invoices!$E$6:$E$505,Invoices!$C$6:$C$505,$A21,Invoices!$B$6:$B$505,"&gt;="&amp;C$5,Invoices!$B$6:$B$505,"&lt;="&amp;EOMONTH(C$5,0))))</f>
        <v/>
      </c>
      <c r="D21" s="35" t="str">
        <f aca="false">IF($A21="","",IF(Settings!$C$11="Paid",SUMIFS(Invoices!$I$6:$I$505,Invoices!$C$6:$C$505,$A21,Invoices!$H$6:$H$505,"&gt;="&amp;D$5,Invoices!$H$6:$H$505,"&lt;="&amp;EOMONTH(D$5,0)),SUMIFS(Invoices!$E$6:$E$505,Invoices!$C$6:$C$505,$A21,Invoices!$B$6:$B$505,"&gt;="&amp;D$5,Invoices!$B$6:$B$505,"&lt;="&amp;EOMONTH(D$5,0))))</f>
        <v/>
      </c>
      <c r="E21" s="35" t="str">
        <f aca="false">IF($A21="","",IF(Settings!$C$11="Paid",SUMIFS(Invoices!$I$6:$I$505,Invoices!$C$6:$C$505,$A21,Invoices!$H$6:$H$505,"&gt;="&amp;E$5,Invoices!$H$6:$H$505,"&lt;="&amp;EOMONTH(E$5,0)),SUMIFS(Invoices!$E$6:$E$505,Invoices!$C$6:$C$505,$A21,Invoices!$B$6:$B$505,"&gt;="&amp;E$5,Invoices!$B$6:$B$505,"&lt;="&amp;EOMONTH(E$5,0))))</f>
        <v/>
      </c>
      <c r="F21" s="35" t="str">
        <f aca="false">IF($A21="","",IF(Settings!$C$11="Paid",SUMIFS(Invoices!$I$6:$I$505,Invoices!$C$6:$C$505,$A21,Invoices!$H$6:$H$505,"&gt;="&amp;F$5,Invoices!$H$6:$H$505,"&lt;="&amp;EOMONTH(F$5,0)),SUMIFS(Invoices!$E$6:$E$505,Invoices!$C$6:$C$505,$A21,Invoices!$B$6:$B$505,"&gt;="&amp;F$5,Invoices!$B$6:$B$505,"&lt;="&amp;EOMONTH(F$5,0))))</f>
        <v/>
      </c>
      <c r="G21" s="35" t="str">
        <f aca="false">IF($A21="","",IF(Settings!$C$11="Paid",SUMIFS(Invoices!$I$6:$I$505,Invoices!$C$6:$C$505,$A21,Invoices!$H$6:$H$505,"&gt;="&amp;G$5,Invoices!$H$6:$H$505,"&lt;="&amp;EOMONTH(G$5,0)),SUMIFS(Invoices!$E$6:$E$505,Invoices!$C$6:$C$505,$A21,Invoices!$B$6:$B$505,"&gt;="&amp;G$5,Invoices!$B$6:$B$505,"&lt;="&amp;EOMONTH(G$5,0))))</f>
        <v/>
      </c>
      <c r="H21" s="35" t="str">
        <f aca="false">IF($A21="","",IF(Settings!$C$11="Paid",SUMIFS(Invoices!$I$6:$I$505,Invoices!$C$6:$C$505,$A21,Invoices!$H$6:$H$505,"&gt;="&amp;H$5,Invoices!$H$6:$H$505,"&lt;="&amp;EOMONTH(H$5,0)),SUMIFS(Invoices!$E$6:$E$505,Invoices!$C$6:$C$505,$A21,Invoices!$B$6:$B$505,"&gt;="&amp;H$5,Invoices!$B$6:$B$505,"&lt;="&amp;EOMONTH(H$5,0))))</f>
        <v/>
      </c>
      <c r="I21" s="35" t="str">
        <f aca="false">IF($A21="","",IF(Settings!$C$11="Paid",SUMIFS(Invoices!$I$6:$I$505,Invoices!$C$6:$C$505,$A21,Invoices!$H$6:$H$505,"&gt;="&amp;I$5,Invoices!$H$6:$H$505,"&lt;="&amp;EOMONTH(I$5,0)),SUMIFS(Invoices!$E$6:$E$505,Invoices!$C$6:$C$505,$A21,Invoices!$B$6:$B$505,"&gt;="&amp;I$5,Invoices!$B$6:$B$505,"&lt;="&amp;EOMONTH(I$5,0))))</f>
        <v/>
      </c>
      <c r="J21" s="35" t="str">
        <f aca="false">IF($A21="","",IF(Settings!$C$11="Paid",SUMIFS(Invoices!$I$6:$I$505,Invoices!$C$6:$C$505,$A21,Invoices!$H$6:$H$505,"&gt;="&amp;J$5,Invoices!$H$6:$H$505,"&lt;="&amp;EOMONTH(J$5,0)),SUMIFS(Invoices!$E$6:$E$505,Invoices!$C$6:$C$505,$A21,Invoices!$B$6:$B$505,"&gt;="&amp;J$5,Invoices!$B$6:$B$505,"&lt;="&amp;EOMONTH(J$5,0))))</f>
        <v/>
      </c>
      <c r="K21" s="35" t="str">
        <f aca="false">IF($A21="","",IF(Settings!$C$11="Paid",SUMIFS(Invoices!$I$6:$I$505,Invoices!$C$6:$C$505,$A21,Invoices!$H$6:$H$505,"&gt;="&amp;K$5,Invoices!$H$6:$H$505,"&lt;="&amp;EOMONTH(K$5,0)),SUMIFS(Invoices!$E$6:$E$505,Invoices!$C$6:$C$505,$A21,Invoices!$B$6:$B$505,"&gt;="&amp;K$5,Invoices!$B$6:$B$505,"&lt;="&amp;EOMONTH(K$5,0))))</f>
        <v/>
      </c>
      <c r="L21" s="35" t="str">
        <f aca="false">IF($A21="","",IF(Settings!$C$11="Paid",SUMIFS(Invoices!$I$6:$I$505,Invoices!$C$6:$C$505,$A21,Invoices!$H$6:$H$505,"&gt;="&amp;L$5,Invoices!$H$6:$H$505,"&lt;="&amp;EOMONTH(L$5,0)),SUMIFS(Invoices!$E$6:$E$505,Invoices!$C$6:$C$505,$A21,Invoices!$B$6:$B$505,"&gt;="&amp;L$5,Invoices!$B$6:$B$505,"&lt;="&amp;EOMONTH(L$5,0))))</f>
        <v/>
      </c>
      <c r="M21" s="35" t="str">
        <f aca="false">IF($A21="","",IF(Settings!$C$11="Paid",SUMIFS(Invoices!$I$6:$I$505,Invoices!$C$6:$C$505,$A21,Invoices!$H$6:$H$505,"&gt;="&amp;M$5,Invoices!$H$6:$H$505,"&lt;="&amp;EOMONTH(M$5,0)),SUMIFS(Invoices!$E$6:$E$505,Invoices!$C$6:$C$505,$A21,Invoices!$B$6:$B$505,"&gt;="&amp;M$5,Invoices!$B$6:$B$505,"&lt;="&amp;EOMONTH(M$5,0))))</f>
        <v/>
      </c>
      <c r="N21" s="55" t="str">
        <f aca="false">IF($A21="","",SUM(B21:M21))</f>
        <v/>
      </c>
      <c r="O21" s="37" t="str">
        <f aca="false">IF(OR($A21="",N($N$28)=0),"",N21/$N$28)</f>
        <v/>
      </c>
    </row>
    <row r="22" customFormat="false" ht="15" hidden="false" customHeight="false" outlineLevel="0" collapsed="false">
      <c r="A22" s="78" t="str">
        <f aca="false">IF(Clients!B21="","",Clients!B21)</f>
        <v/>
      </c>
      <c r="B22" s="35" t="str">
        <f aca="false">IF($A22="","",IF(Settings!$C$11="Paid",SUMIFS(Invoices!$I$6:$I$505,Invoices!$C$6:$C$505,$A22,Invoices!$H$6:$H$505,"&gt;="&amp;B$5,Invoices!$H$6:$H$505,"&lt;="&amp;EOMONTH(B$5,0)),SUMIFS(Invoices!$E$6:$E$505,Invoices!$C$6:$C$505,$A22,Invoices!$B$6:$B$505,"&gt;="&amp;B$5,Invoices!$B$6:$B$505,"&lt;="&amp;EOMONTH(B$5,0))))</f>
        <v/>
      </c>
      <c r="C22" s="35" t="str">
        <f aca="false">IF($A22="","",IF(Settings!$C$11="Paid",SUMIFS(Invoices!$I$6:$I$505,Invoices!$C$6:$C$505,$A22,Invoices!$H$6:$H$505,"&gt;="&amp;C$5,Invoices!$H$6:$H$505,"&lt;="&amp;EOMONTH(C$5,0)),SUMIFS(Invoices!$E$6:$E$505,Invoices!$C$6:$C$505,$A22,Invoices!$B$6:$B$505,"&gt;="&amp;C$5,Invoices!$B$6:$B$505,"&lt;="&amp;EOMONTH(C$5,0))))</f>
        <v/>
      </c>
      <c r="D22" s="35" t="str">
        <f aca="false">IF($A22="","",IF(Settings!$C$11="Paid",SUMIFS(Invoices!$I$6:$I$505,Invoices!$C$6:$C$505,$A22,Invoices!$H$6:$H$505,"&gt;="&amp;D$5,Invoices!$H$6:$H$505,"&lt;="&amp;EOMONTH(D$5,0)),SUMIFS(Invoices!$E$6:$E$505,Invoices!$C$6:$C$505,$A22,Invoices!$B$6:$B$505,"&gt;="&amp;D$5,Invoices!$B$6:$B$505,"&lt;="&amp;EOMONTH(D$5,0))))</f>
        <v/>
      </c>
      <c r="E22" s="35" t="str">
        <f aca="false">IF($A22="","",IF(Settings!$C$11="Paid",SUMIFS(Invoices!$I$6:$I$505,Invoices!$C$6:$C$505,$A22,Invoices!$H$6:$H$505,"&gt;="&amp;E$5,Invoices!$H$6:$H$505,"&lt;="&amp;EOMONTH(E$5,0)),SUMIFS(Invoices!$E$6:$E$505,Invoices!$C$6:$C$505,$A22,Invoices!$B$6:$B$505,"&gt;="&amp;E$5,Invoices!$B$6:$B$505,"&lt;="&amp;EOMONTH(E$5,0))))</f>
        <v/>
      </c>
      <c r="F22" s="35" t="str">
        <f aca="false">IF($A22="","",IF(Settings!$C$11="Paid",SUMIFS(Invoices!$I$6:$I$505,Invoices!$C$6:$C$505,$A22,Invoices!$H$6:$H$505,"&gt;="&amp;F$5,Invoices!$H$6:$H$505,"&lt;="&amp;EOMONTH(F$5,0)),SUMIFS(Invoices!$E$6:$E$505,Invoices!$C$6:$C$505,$A22,Invoices!$B$6:$B$505,"&gt;="&amp;F$5,Invoices!$B$6:$B$505,"&lt;="&amp;EOMONTH(F$5,0))))</f>
        <v/>
      </c>
      <c r="G22" s="35" t="str">
        <f aca="false">IF($A22="","",IF(Settings!$C$11="Paid",SUMIFS(Invoices!$I$6:$I$505,Invoices!$C$6:$C$505,$A22,Invoices!$H$6:$H$505,"&gt;="&amp;G$5,Invoices!$H$6:$H$505,"&lt;="&amp;EOMONTH(G$5,0)),SUMIFS(Invoices!$E$6:$E$505,Invoices!$C$6:$C$505,$A22,Invoices!$B$6:$B$505,"&gt;="&amp;G$5,Invoices!$B$6:$B$505,"&lt;="&amp;EOMONTH(G$5,0))))</f>
        <v/>
      </c>
      <c r="H22" s="35" t="str">
        <f aca="false">IF($A22="","",IF(Settings!$C$11="Paid",SUMIFS(Invoices!$I$6:$I$505,Invoices!$C$6:$C$505,$A22,Invoices!$H$6:$H$505,"&gt;="&amp;H$5,Invoices!$H$6:$H$505,"&lt;="&amp;EOMONTH(H$5,0)),SUMIFS(Invoices!$E$6:$E$505,Invoices!$C$6:$C$505,$A22,Invoices!$B$6:$B$505,"&gt;="&amp;H$5,Invoices!$B$6:$B$505,"&lt;="&amp;EOMONTH(H$5,0))))</f>
        <v/>
      </c>
      <c r="I22" s="35" t="str">
        <f aca="false">IF($A22="","",IF(Settings!$C$11="Paid",SUMIFS(Invoices!$I$6:$I$505,Invoices!$C$6:$C$505,$A22,Invoices!$H$6:$H$505,"&gt;="&amp;I$5,Invoices!$H$6:$H$505,"&lt;="&amp;EOMONTH(I$5,0)),SUMIFS(Invoices!$E$6:$E$505,Invoices!$C$6:$C$505,$A22,Invoices!$B$6:$B$505,"&gt;="&amp;I$5,Invoices!$B$6:$B$505,"&lt;="&amp;EOMONTH(I$5,0))))</f>
        <v/>
      </c>
      <c r="J22" s="35" t="str">
        <f aca="false">IF($A22="","",IF(Settings!$C$11="Paid",SUMIFS(Invoices!$I$6:$I$505,Invoices!$C$6:$C$505,$A22,Invoices!$H$6:$H$505,"&gt;="&amp;J$5,Invoices!$H$6:$H$505,"&lt;="&amp;EOMONTH(J$5,0)),SUMIFS(Invoices!$E$6:$E$505,Invoices!$C$6:$C$505,$A22,Invoices!$B$6:$B$505,"&gt;="&amp;J$5,Invoices!$B$6:$B$505,"&lt;="&amp;EOMONTH(J$5,0))))</f>
        <v/>
      </c>
      <c r="K22" s="35" t="str">
        <f aca="false">IF($A22="","",IF(Settings!$C$11="Paid",SUMIFS(Invoices!$I$6:$I$505,Invoices!$C$6:$C$505,$A22,Invoices!$H$6:$H$505,"&gt;="&amp;K$5,Invoices!$H$6:$H$505,"&lt;="&amp;EOMONTH(K$5,0)),SUMIFS(Invoices!$E$6:$E$505,Invoices!$C$6:$C$505,$A22,Invoices!$B$6:$B$505,"&gt;="&amp;K$5,Invoices!$B$6:$B$505,"&lt;="&amp;EOMONTH(K$5,0))))</f>
        <v/>
      </c>
      <c r="L22" s="35" t="str">
        <f aca="false">IF($A22="","",IF(Settings!$C$11="Paid",SUMIFS(Invoices!$I$6:$I$505,Invoices!$C$6:$C$505,$A22,Invoices!$H$6:$H$505,"&gt;="&amp;L$5,Invoices!$H$6:$H$505,"&lt;="&amp;EOMONTH(L$5,0)),SUMIFS(Invoices!$E$6:$E$505,Invoices!$C$6:$C$505,$A22,Invoices!$B$6:$B$505,"&gt;="&amp;L$5,Invoices!$B$6:$B$505,"&lt;="&amp;EOMONTH(L$5,0))))</f>
        <v/>
      </c>
      <c r="M22" s="35" t="str">
        <f aca="false">IF($A22="","",IF(Settings!$C$11="Paid",SUMIFS(Invoices!$I$6:$I$505,Invoices!$C$6:$C$505,$A22,Invoices!$H$6:$H$505,"&gt;="&amp;M$5,Invoices!$H$6:$H$505,"&lt;="&amp;EOMONTH(M$5,0)),SUMIFS(Invoices!$E$6:$E$505,Invoices!$C$6:$C$505,$A22,Invoices!$B$6:$B$505,"&gt;="&amp;M$5,Invoices!$B$6:$B$505,"&lt;="&amp;EOMONTH(M$5,0))))</f>
        <v/>
      </c>
      <c r="N22" s="55" t="str">
        <f aca="false">IF($A22="","",SUM(B22:M22))</f>
        <v/>
      </c>
      <c r="O22" s="37" t="str">
        <f aca="false">IF(OR($A22="",N($N$28)=0),"",N22/$N$28)</f>
        <v/>
      </c>
    </row>
    <row r="23" customFormat="false" ht="15" hidden="false" customHeight="false" outlineLevel="0" collapsed="false">
      <c r="A23" s="78" t="str">
        <f aca="false">IF(Clients!B22="","",Clients!B22)</f>
        <v/>
      </c>
      <c r="B23" s="35" t="str">
        <f aca="false">IF($A23="","",IF(Settings!$C$11="Paid",SUMIFS(Invoices!$I$6:$I$505,Invoices!$C$6:$C$505,$A23,Invoices!$H$6:$H$505,"&gt;="&amp;B$5,Invoices!$H$6:$H$505,"&lt;="&amp;EOMONTH(B$5,0)),SUMIFS(Invoices!$E$6:$E$505,Invoices!$C$6:$C$505,$A23,Invoices!$B$6:$B$505,"&gt;="&amp;B$5,Invoices!$B$6:$B$505,"&lt;="&amp;EOMONTH(B$5,0))))</f>
        <v/>
      </c>
      <c r="C23" s="35" t="str">
        <f aca="false">IF($A23="","",IF(Settings!$C$11="Paid",SUMIFS(Invoices!$I$6:$I$505,Invoices!$C$6:$C$505,$A23,Invoices!$H$6:$H$505,"&gt;="&amp;C$5,Invoices!$H$6:$H$505,"&lt;="&amp;EOMONTH(C$5,0)),SUMIFS(Invoices!$E$6:$E$505,Invoices!$C$6:$C$505,$A23,Invoices!$B$6:$B$505,"&gt;="&amp;C$5,Invoices!$B$6:$B$505,"&lt;="&amp;EOMONTH(C$5,0))))</f>
        <v/>
      </c>
      <c r="D23" s="35" t="str">
        <f aca="false">IF($A23="","",IF(Settings!$C$11="Paid",SUMIFS(Invoices!$I$6:$I$505,Invoices!$C$6:$C$505,$A23,Invoices!$H$6:$H$505,"&gt;="&amp;D$5,Invoices!$H$6:$H$505,"&lt;="&amp;EOMONTH(D$5,0)),SUMIFS(Invoices!$E$6:$E$505,Invoices!$C$6:$C$505,$A23,Invoices!$B$6:$B$505,"&gt;="&amp;D$5,Invoices!$B$6:$B$505,"&lt;="&amp;EOMONTH(D$5,0))))</f>
        <v/>
      </c>
      <c r="E23" s="35" t="str">
        <f aca="false">IF($A23="","",IF(Settings!$C$11="Paid",SUMIFS(Invoices!$I$6:$I$505,Invoices!$C$6:$C$505,$A23,Invoices!$H$6:$H$505,"&gt;="&amp;E$5,Invoices!$H$6:$H$505,"&lt;="&amp;EOMONTH(E$5,0)),SUMIFS(Invoices!$E$6:$E$505,Invoices!$C$6:$C$505,$A23,Invoices!$B$6:$B$505,"&gt;="&amp;E$5,Invoices!$B$6:$B$505,"&lt;="&amp;EOMONTH(E$5,0))))</f>
        <v/>
      </c>
      <c r="F23" s="35" t="str">
        <f aca="false">IF($A23="","",IF(Settings!$C$11="Paid",SUMIFS(Invoices!$I$6:$I$505,Invoices!$C$6:$C$505,$A23,Invoices!$H$6:$H$505,"&gt;="&amp;F$5,Invoices!$H$6:$H$505,"&lt;="&amp;EOMONTH(F$5,0)),SUMIFS(Invoices!$E$6:$E$505,Invoices!$C$6:$C$505,$A23,Invoices!$B$6:$B$505,"&gt;="&amp;F$5,Invoices!$B$6:$B$505,"&lt;="&amp;EOMONTH(F$5,0))))</f>
        <v/>
      </c>
      <c r="G23" s="35" t="str">
        <f aca="false">IF($A23="","",IF(Settings!$C$11="Paid",SUMIFS(Invoices!$I$6:$I$505,Invoices!$C$6:$C$505,$A23,Invoices!$H$6:$H$505,"&gt;="&amp;G$5,Invoices!$H$6:$H$505,"&lt;="&amp;EOMONTH(G$5,0)),SUMIFS(Invoices!$E$6:$E$505,Invoices!$C$6:$C$505,$A23,Invoices!$B$6:$B$505,"&gt;="&amp;G$5,Invoices!$B$6:$B$505,"&lt;="&amp;EOMONTH(G$5,0))))</f>
        <v/>
      </c>
      <c r="H23" s="35" t="str">
        <f aca="false">IF($A23="","",IF(Settings!$C$11="Paid",SUMIFS(Invoices!$I$6:$I$505,Invoices!$C$6:$C$505,$A23,Invoices!$H$6:$H$505,"&gt;="&amp;H$5,Invoices!$H$6:$H$505,"&lt;="&amp;EOMONTH(H$5,0)),SUMIFS(Invoices!$E$6:$E$505,Invoices!$C$6:$C$505,$A23,Invoices!$B$6:$B$505,"&gt;="&amp;H$5,Invoices!$B$6:$B$505,"&lt;="&amp;EOMONTH(H$5,0))))</f>
        <v/>
      </c>
      <c r="I23" s="35" t="str">
        <f aca="false">IF($A23="","",IF(Settings!$C$11="Paid",SUMIFS(Invoices!$I$6:$I$505,Invoices!$C$6:$C$505,$A23,Invoices!$H$6:$H$505,"&gt;="&amp;I$5,Invoices!$H$6:$H$505,"&lt;="&amp;EOMONTH(I$5,0)),SUMIFS(Invoices!$E$6:$E$505,Invoices!$C$6:$C$505,$A23,Invoices!$B$6:$B$505,"&gt;="&amp;I$5,Invoices!$B$6:$B$505,"&lt;="&amp;EOMONTH(I$5,0))))</f>
        <v/>
      </c>
      <c r="J23" s="35" t="str">
        <f aca="false">IF($A23="","",IF(Settings!$C$11="Paid",SUMIFS(Invoices!$I$6:$I$505,Invoices!$C$6:$C$505,$A23,Invoices!$H$6:$H$505,"&gt;="&amp;J$5,Invoices!$H$6:$H$505,"&lt;="&amp;EOMONTH(J$5,0)),SUMIFS(Invoices!$E$6:$E$505,Invoices!$C$6:$C$505,$A23,Invoices!$B$6:$B$505,"&gt;="&amp;J$5,Invoices!$B$6:$B$505,"&lt;="&amp;EOMONTH(J$5,0))))</f>
        <v/>
      </c>
      <c r="K23" s="35" t="str">
        <f aca="false">IF($A23="","",IF(Settings!$C$11="Paid",SUMIFS(Invoices!$I$6:$I$505,Invoices!$C$6:$C$505,$A23,Invoices!$H$6:$H$505,"&gt;="&amp;K$5,Invoices!$H$6:$H$505,"&lt;="&amp;EOMONTH(K$5,0)),SUMIFS(Invoices!$E$6:$E$505,Invoices!$C$6:$C$505,$A23,Invoices!$B$6:$B$505,"&gt;="&amp;K$5,Invoices!$B$6:$B$505,"&lt;="&amp;EOMONTH(K$5,0))))</f>
        <v/>
      </c>
      <c r="L23" s="35" t="str">
        <f aca="false">IF($A23="","",IF(Settings!$C$11="Paid",SUMIFS(Invoices!$I$6:$I$505,Invoices!$C$6:$C$505,$A23,Invoices!$H$6:$H$505,"&gt;="&amp;L$5,Invoices!$H$6:$H$505,"&lt;="&amp;EOMONTH(L$5,0)),SUMIFS(Invoices!$E$6:$E$505,Invoices!$C$6:$C$505,$A23,Invoices!$B$6:$B$505,"&gt;="&amp;L$5,Invoices!$B$6:$B$505,"&lt;="&amp;EOMONTH(L$5,0))))</f>
        <v/>
      </c>
      <c r="M23" s="35" t="str">
        <f aca="false">IF($A23="","",IF(Settings!$C$11="Paid",SUMIFS(Invoices!$I$6:$I$505,Invoices!$C$6:$C$505,$A23,Invoices!$H$6:$H$505,"&gt;="&amp;M$5,Invoices!$H$6:$H$505,"&lt;="&amp;EOMONTH(M$5,0)),SUMIFS(Invoices!$E$6:$E$505,Invoices!$C$6:$C$505,$A23,Invoices!$B$6:$B$505,"&gt;="&amp;M$5,Invoices!$B$6:$B$505,"&lt;="&amp;EOMONTH(M$5,0))))</f>
        <v/>
      </c>
      <c r="N23" s="55" t="str">
        <f aca="false">IF($A23="","",SUM(B23:M23))</f>
        <v/>
      </c>
      <c r="O23" s="37" t="str">
        <f aca="false">IF(OR($A23="",N($N$28)=0),"",N23/$N$28)</f>
        <v/>
      </c>
    </row>
    <row r="24" customFormat="false" ht="15" hidden="false" customHeight="false" outlineLevel="0" collapsed="false">
      <c r="A24" s="78" t="str">
        <f aca="false">IF(Clients!B23="","",Clients!B23)</f>
        <v/>
      </c>
      <c r="B24" s="35" t="str">
        <f aca="false">IF($A24="","",IF(Settings!$C$11="Paid",SUMIFS(Invoices!$I$6:$I$505,Invoices!$C$6:$C$505,$A24,Invoices!$H$6:$H$505,"&gt;="&amp;B$5,Invoices!$H$6:$H$505,"&lt;="&amp;EOMONTH(B$5,0)),SUMIFS(Invoices!$E$6:$E$505,Invoices!$C$6:$C$505,$A24,Invoices!$B$6:$B$505,"&gt;="&amp;B$5,Invoices!$B$6:$B$505,"&lt;="&amp;EOMONTH(B$5,0))))</f>
        <v/>
      </c>
      <c r="C24" s="35" t="str">
        <f aca="false">IF($A24="","",IF(Settings!$C$11="Paid",SUMIFS(Invoices!$I$6:$I$505,Invoices!$C$6:$C$505,$A24,Invoices!$H$6:$H$505,"&gt;="&amp;C$5,Invoices!$H$6:$H$505,"&lt;="&amp;EOMONTH(C$5,0)),SUMIFS(Invoices!$E$6:$E$505,Invoices!$C$6:$C$505,$A24,Invoices!$B$6:$B$505,"&gt;="&amp;C$5,Invoices!$B$6:$B$505,"&lt;="&amp;EOMONTH(C$5,0))))</f>
        <v/>
      </c>
      <c r="D24" s="35" t="str">
        <f aca="false">IF($A24="","",IF(Settings!$C$11="Paid",SUMIFS(Invoices!$I$6:$I$505,Invoices!$C$6:$C$505,$A24,Invoices!$H$6:$H$505,"&gt;="&amp;D$5,Invoices!$H$6:$H$505,"&lt;="&amp;EOMONTH(D$5,0)),SUMIFS(Invoices!$E$6:$E$505,Invoices!$C$6:$C$505,$A24,Invoices!$B$6:$B$505,"&gt;="&amp;D$5,Invoices!$B$6:$B$505,"&lt;="&amp;EOMONTH(D$5,0))))</f>
        <v/>
      </c>
      <c r="E24" s="35" t="str">
        <f aca="false">IF($A24="","",IF(Settings!$C$11="Paid",SUMIFS(Invoices!$I$6:$I$505,Invoices!$C$6:$C$505,$A24,Invoices!$H$6:$H$505,"&gt;="&amp;E$5,Invoices!$H$6:$H$505,"&lt;="&amp;EOMONTH(E$5,0)),SUMIFS(Invoices!$E$6:$E$505,Invoices!$C$6:$C$505,$A24,Invoices!$B$6:$B$505,"&gt;="&amp;E$5,Invoices!$B$6:$B$505,"&lt;="&amp;EOMONTH(E$5,0))))</f>
        <v/>
      </c>
      <c r="F24" s="35" t="str">
        <f aca="false">IF($A24="","",IF(Settings!$C$11="Paid",SUMIFS(Invoices!$I$6:$I$505,Invoices!$C$6:$C$505,$A24,Invoices!$H$6:$H$505,"&gt;="&amp;F$5,Invoices!$H$6:$H$505,"&lt;="&amp;EOMONTH(F$5,0)),SUMIFS(Invoices!$E$6:$E$505,Invoices!$C$6:$C$505,$A24,Invoices!$B$6:$B$505,"&gt;="&amp;F$5,Invoices!$B$6:$B$505,"&lt;="&amp;EOMONTH(F$5,0))))</f>
        <v/>
      </c>
      <c r="G24" s="35" t="str">
        <f aca="false">IF($A24="","",IF(Settings!$C$11="Paid",SUMIFS(Invoices!$I$6:$I$505,Invoices!$C$6:$C$505,$A24,Invoices!$H$6:$H$505,"&gt;="&amp;G$5,Invoices!$H$6:$H$505,"&lt;="&amp;EOMONTH(G$5,0)),SUMIFS(Invoices!$E$6:$E$505,Invoices!$C$6:$C$505,$A24,Invoices!$B$6:$B$505,"&gt;="&amp;G$5,Invoices!$B$6:$B$505,"&lt;="&amp;EOMONTH(G$5,0))))</f>
        <v/>
      </c>
      <c r="H24" s="35" t="str">
        <f aca="false">IF($A24="","",IF(Settings!$C$11="Paid",SUMIFS(Invoices!$I$6:$I$505,Invoices!$C$6:$C$505,$A24,Invoices!$H$6:$H$505,"&gt;="&amp;H$5,Invoices!$H$6:$H$505,"&lt;="&amp;EOMONTH(H$5,0)),SUMIFS(Invoices!$E$6:$E$505,Invoices!$C$6:$C$505,$A24,Invoices!$B$6:$B$505,"&gt;="&amp;H$5,Invoices!$B$6:$B$505,"&lt;="&amp;EOMONTH(H$5,0))))</f>
        <v/>
      </c>
      <c r="I24" s="35" t="str">
        <f aca="false">IF($A24="","",IF(Settings!$C$11="Paid",SUMIFS(Invoices!$I$6:$I$505,Invoices!$C$6:$C$505,$A24,Invoices!$H$6:$H$505,"&gt;="&amp;I$5,Invoices!$H$6:$H$505,"&lt;="&amp;EOMONTH(I$5,0)),SUMIFS(Invoices!$E$6:$E$505,Invoices!$C$6:$C$505,$A24,Invoices!$B$6:$B$505,"&gt;="&amp;I$5,Invoices!$B$6:$B$505,"&lt;="&amp;EOMONTH(I$5,0))))</f>
        <v/>
      </c>
      <c r="J24" s="35" t="str">
        <f aca="false">IF($A24="","",IF(Settings!$C$11="Paid",SUMIFS(Invoices!$I$6:$I$505,Invoices!$C$6:$C$505,$A24,Invoices!$H$6:$H$505,"&gt;="&amp;J$5,Invoices!$H$6:$H$505,"&lt;="&amp;EOMONTH(J$5,0)),SUMIFS(Invoices!$E$6:$E$505,Invoices!$C$6:$C$505,$A24,Invoices!$B$6:$B$505,"&gt;="&amp;J$5,Invoices!$B$6:$B$505,"&lt;="&amp;EOMONTH(J$5,0))))</f>
        <v/>
      </c>
      <c r="K24" s="35" t="str">
        <f aca="false">IF($A24="","",IF(Settings!$C$11="Paid",SUMIFS(Invoices!$I$6:$I$505,Invoices!$C$6:$C$505,$A24,Invoices!$H$6:$H$505,"&gt;="&amp;K$5,Invoices!$H$6:$H$505,"&lt;="&amp;EOMONTH(K$5,0)),SUMIFS(Invoices!$E$6:$E$505,Invoices!$C$6:$C$505,$A24,Invoices!$B$6:$B$505,"&gt;="&amp;K$5,Invoices!$B$6:$B$505,"&lt;="&amp;EOMONTH(K$5,0))))</f>
        <v/>
      </c>
      <c r="L24" s="35" t="str">
        <f aca="false">IF($A24="","",IF(Settings!$C$11="Paid",SUMIFS(Invoices!$I$6:$I$505,Invoices!$C$6:$C$505,$A24,Invoices!$H$6:$H$505,"&gt;="&amp;L$5,Invoices!$H$6:$H$505,"&lt;="&amp;EOMONTH(L$5,0)),SUMIFS(Invoices!$E$6:$E$505,Invoices!$C$6:$C$505,$A24,Invoices!$B$6:$B$505,"&gt;="&amp;L$5,Invoices!$B$6:$B$505,"&lt;="&amp;EOMONTH(L$5,0))))</f>
        <v/>
      </c>
      <c r="M24" s="35" t="str">
        <f aca="false">IF($A24="","",IF(Settings!$C$11="Paid",SUMIFS(Invoices!$I$6:$I$505,Invoices!$C$6:$C$505,$A24,Invoices!$H$6:$H$505,"&gt;="&amp;M$5,Invoices!$H$6:$H$505,"&lt;="&amp;EOMONTH(M$5,0)),SUMIFS(Invoices!$E$6:$E$505,Invoices!$C$6:$C$505,$A24,Invoices!$B$6:$B$505,"&gt;="&amp;M$5,Invoices!$B$6:$B$505,"&lt;="&amp;EOMONTH(M$5,0))))</f>
        <v/>
      </c>
      <c r="N24" s="55" t="str">
        <f aca="false">IF($A24="","",SUM(B24:M24))</f>
        <v/>
      </c>
      <c r="O24" s="37" t="str">
        <f aca="false">IF(OR($A24="",N($N$28)=0),"",N24/$N$28)</f>
        <v/>
      </c>
    </row>
    <row r="25" customFormat="false" ht="15" hidden="false" customHeight="false" outlineLevel="0" collapsed="false">
      <c r="A25" s="78" t="str">
        <f aca="false">IF(Clients!B24="","",Clients!B24)</f>
        <v/>
      </c>
      <c r="B25" s="35" t="str">
        <f aca="false">IF($A25="","",IF(Settings!$C$11="Paid",SUMIFS(Invoices!$I$6:$I$505,Invoices!$C$6:$C$505,$A25,Invoices!$H$6:$H$505,"&gt;="&amp;B$5,Invoices!$H$6:$H$505,"&lt;="&amp;EOMONTH(B$5,0)),SUMIFS(Invoices!$E$6:$E$505,Invoices!$C$6:$C$505,$A25,Invoices!$B$6:$B$505,"&gt;="&amp;B$5,Invoices!$B$6:$B$505,"&lt;="&amp;EOMONTH(B$5,0))))</f>
        <v/>
      </c>
      <c r="C25" s="35" t="str">
        <f aca="false">IF($A25="","",IF(Settings!$C$11="Paid",SUMIFS(Invoices!$I$6:$I$505,Invoices!$C$6:$C$505,$A25,Invoices!$H$6:$H$505,"&gt;="&amp;C$5,Invoices!$H$6:$H$505,"&lt;="&amp;EOMONTH(C$5,0)),SUMIFS(Invoices!$E$6:$E$505,Invoices!$C$6:$C$505,$A25,Invoices!$B$6:$B$505,"&gt;="&amp;C$5,Invoices!$B$6:$B$505,"&lt;="&amp;EOMONTH(C$5,0))))</f>
        <v/>
      </c>
      <c r="D25" s="35" t="str">
        <f aca="false">IF($A25="","",IF(Settings!$C$11="Paid",SUMIFS(Invoices!$I$6:$I$505,Invoices!$C$6:$C$505,$A25,Invoices!$H$6:$H$505,"&gt;="&amp;D$5,Invoices!$H$6:$H$505,"&lt;="&amp;EOMONTH(D$5,0)),SUMIFS(Invoices!$E$6:$E$505,Invoices!$C$6:$C$505,$A25,Invoices!$B$6:$B$505,"&gt;="&amp;D$5,Invoices!$B$6:$B$505,"&lt;="&amp;EOMONTH(D$5,0))))</f>
        <v/>
      </c>
      <c r="E25" s="35" t="str">
        <f aca="false">IF($A25="","",IF(Settings!$C$11="Paid",SUMIFS(Invoices!$I$6:$I$505,Invoices!$C$6:$C$505,$A25,Invoices!$H$6:$H$505,"&gt;="&amp;E$5,Invoices!$H$6:$H$505,"&lt;="&amp;EOMONTH(E$5,0)),SUMIFS(Invoices!$E$6:$E$505,Invoices!$C$6:$C$505,$A25,Invoices!$B$6:$B$505,"&gt;="&amp;E$5,Invoices!$B$6:$B$505,"&lt;="&amp;EOMONTH(E$5,0))))</f>
        <v/>
      </c>
      <c r="F25" s="35" t="str">
        <f aca="false">IF($A25="","",IF(Settings!$C$11="Paid",SUMIFS(Invoices!$I$6:$I$505,Invoices!$C$6:$C$505,$A25,Invoices!$H$6:$H$505,"&gt;="&amp;F$5,Invoices!$H$6:$H$505,"&lt;="&amp;EOMONTH(F$5,0)),SUMIFS(Invoices!$E$6:$E$505,Invoices!$C$6:$C$505,$A25,Invoices!$B$6:$B$505,"&gt;="&amp;F$5,Invoices!$B$6:$B$505,"&lt;="&amp;EOMONTH(F$5,0))))</f>
        <v/>
      </c>
      <c r="G25" s="35" t="str">
        <f aca="false">IF($A25="","",IF(Settings!$C$11="Paid",SUMIFS(Invoices!$I$6:$I$505,Invoices!$C$6:$C$505,$A25,Invoices!$H$6:$H$505,"&gt;="&amp;G$5,Invoices!$H$6:$H$505,"&lt;="&amp;EOMONTH(G$5,0)),SUMIFS(Invoices!$E$6:$E$505,Invoices!$C$6:$C$505,$A25,Invoices!$B$6:$B$505,"&gt;="&amp;G$5,Invoices!$B$6:$B$505,"&lt;="&amp;EOMONTH(G$5,0))))</f>
        <v/>
      </c>
      <c r="H25" s="35" t="str">
        <f aca="false">IF($A25="","",IF(Settings!$C$11="Paid",SUMIFS(Invoices!$I$6:$I$505,Invoices!$C$6:$C$505,$A25,Invoices!$H$6:$H$505,"&gt;="&amp;H$5,Invoices!$H$6:$H$505,"&lt;="&amp;EOMONTH(H$5,0)),SUMIFS(Invoices!$E$6:$E$505,Invoices!$C$6:$C$505,$A25,Invoices!$B$6:$B$505,"&gt;="&amp;H$5,Invoices!$B$6:$B$505,"&lt;="&amp;EOMONTH(H$5,0))))</f>
        <v/>
      </c>
      <c r="I25" s="35" t="str">
        <f aca="false">IF($A25="","",IF(Settings!$C$11="Paid",SUMIFS(Invoices!$I$6:$I$505,Invoices!$C$6:$C$505,$A25,Invoices!$H$6:$H$505,"&gt;="&amp;I$5,Invoices!$H$6:$H$505,"&lt;="&amp;EOMONTH(I$5,0)),SUMIFS(Invoices!$E$6:$E$505,Invoices!$C$6:$C$505,$A25,Invoices!$B$6:$B$505,"&gt;="&amp;I$5,Invoices!$B$6:$B$505,"&lt;="&amp;EOMONTH(I$5,0))))</f>
        <v/>
      </c>
      <c r="J25" s="35" t="str">
        <f aca="false">IF($A25="","",IF(Settings!$C$11="Paid",SUMIFS(Invoices!$I$6:$I$505,Invoices!$C$6:$C$505,$A25,Invoices!$H$6:$H$505,"&gt;="&amp;J$5,Invoices!$H$6:$H$505,"&lt;="&amp;EOMONTH(J$5,0)),SUMIFS(Invoices!$E$6:$E$505,Invoices!$C$6:$C$505,$A25,Invoices!$B$6:$B$505,"&gt;="&amp;J$5,Invoices!$B$6:$B$505,"&lt;="&amp;EOMONTH(J$5,0))))</f>
        <v/>
      </c>
      <c r="K25" s="35" t="str">
        <f aca="false">IF($A25="","",IF(Settings!$C$11="Paid",SUMIFS(Invoices!$I$6:$I$505,Invoices!$C$6:$C$505,$A25,Invoices!$H$6:$H$505,"&gt;="&amp;K$5,Invoices!$H$6:$H$505,"&lt;="&amp;EOMONTH(K$5,0)),SUMIFS(Invoices!$E$6:$E$505,Invoices!$C$6:$C$505,$A25,Invoices!$B$6:$B$505,"&gt;="&amp;K$5,Invoices!$B$6:$B$505,"&lt;="&amp;EOMONTH(K$5,0))))</f>
        <v/>
      </c>
      <c r="L25" s="35" t="str">
        <f aca="false">IF($A25="","",IF(Settings!$C$11="Paid",SUMIFS(Invoices!$I$6:$I$505,Invoices!$C$6:$C$505,$A25,Invoices!$H$6:$H$505,"&gt;="&amp;L$5,Invoices!$H$6:$H$505,"&lt;="&amp;EOMONTH(L$5,0)),SUMIFS(Invoices!$E$6:$E$505,Invoices!$C$6:$C$505,$A25,Invoices!$B$6:$B$505,"&gt;="&amp;L$5,Invoices!$B$6:$B$505,"&lt;="&amp;EOMONTH(L$5,0))))</f>
        <v/>
      </c>
      <c r="M25" s="35" t="str">
        <f aca="false">IF($A25="","",IF(Settings!$C$11="Paid",SUMIFS(Invoices!$I$6:$I$505,Invoices!$C$6:$C$505,$A25,Invoices!$H$6:$H$505,"&gt;="&amp;M$5,Invoices!$H$6:$H$505,"&lt;="&amp;EOMONTH(M$5,0)),SUMIFS(Invoices!$E$6:$E$505,Invoices!$C$6:$C$505,$A25,Invoices!$B$6:$B$505,"&gt;="&amp;M$5,Invoices!$B$6:$B$505,"&lt;="&amp;EOMONTH(M$5,0))))</f>
        <v/>
      </c>
      <c r="N25" s="55" t="str">
        <f aca="false">IF($A25="","",SUM(B25:M25))</f>
        <v/>
      </c>
      <c r="O25" s="37" t="str">
        <f aca="false">IF(OR($A25="",N($N$28)=0),"",N25/$N$28)</f>
        <v/>
      </c>
    </row>
    <row r="26" customFormat="false" ht="15" hidden="false" customHeight="false" outlineLevel="0" collapsed="false">
      <c r="A26" s="78" t="str">
        <f aca="false">IF(Clients!B25="","",Clients!B25)</f>
        <v/>
      </c>
      <c r="B26" s="35" t="str">
        <f aca="false">IF($A26="","",IF(Settings!$C$11="Paid",SUMIFS(Invoices!$I$6:$I$505,Invoices!$C$6:$C$505,$A26,Invoices!$H$6:$H$505,"&gt;="&amp;B$5,Invoices!$H$6:$H$505,"&lt;="&amp;EOMONTH(B$5,0)),SUMIFS(Invoices!$E$6:$E$505,Invoices!$C$6:$C$505,$A26,Invoices!$B$6:$B$505,"&gt;="&amp;B$5,Invoices!$B$6:$B$505,"&lt;="&amp;EOMONTH(B$5,0))))</f>
        <v/>
      </c>
      <c r="C26" s="35" t="str">
        <f aca="false">IF($A26="","",IF(Settings!$C$11="Paid",SUMIFS(Invoices!$I$6:$I$505,Invoices!$C$6:$C$505,$A26,Invoices!$H$6:$H$505,"&gt;="&amp;C$5,Invoices!$H$6:$H$505,"&lt;="&amp;EOMONTH(C$5,0)),SUMIFS(Invoices!$E$6:$E$505,Invoices!$C$6:$C$505,$A26,Invoices!$B$6:$B$505,"&gt;="&amp;C$5,Invoices!$B$6:$B$505,"&lt;="&amp;EOMONTH(C$5,0))))</f>
        <v/>
      </c>
      <c r="D26" s="35" t="str">
        <f aca="false">IF($A26="","",IF(Settings!$C$11="Paid",SUMIFS(Invoices!$I$6:$I$505,Invoices!$C$6:$C$505,$A26,Invoices!$H$6:$H$505,"&gt;="&amp;D$5,Invoices!$H$6:$H$505,"&lt;="&amp;EOMONTH(D$5,0)),SUMIFS(Invoices!$E$6:$E$505,Invoices!$C$6:$C$505,$A26,Invoices!$B$6:$B$505,"&gt;="&amp;D$5,Invoices!$B$6:$B$505,"&lt;="&amp;EOMONTH(D$5,0))))</f>
        <v/>
      </c>
      <c r="E26" s="35" t="str">
        <f aca="false">IF($A26="","",IF(Settings!$C$11="Paid",SUMIFS(Invoices!$I$6:$I$505,Invoices!$C$6:$C$505,$A26,Invoices!$H$6:$H$505,"&gt;="&amp;E$5,Invoices!$H$6:$H$505,"&lt;="&amp;EOMONTH(E$5,0)),SUMIFS(Invoices!$E$6:$E$505,Invoices!$C$6:$C$505,$A26,Invoices!$B$6:$B$505,"&gt;="&amp;E$5,Invoices!$B$6:$B$505,"&lt;="&amp;EOMONTH(E$5,0))))</f>
        <v/>
      </c>
      <c r="F26" s="35" t="str">
        <f aca="false">IF($A26="","",IF(Settings!$C$11="Paid",SUMIFS(Invoices!$I$6:$I$505,Invoices!$C$6:$C$505,$A26,Invoices!$H$6:$H$505,"&gt;="&amp;F$5,Invoices!$H$6:$H$505,"&lt;="&amp;EOMONTH(F$5,0)),SUMIFS(Invoices!$E$6:$E$505,Invoices!$C$6:$C$505,$A26,Invoices!$B$6:$B$505,"&gt;="&amp;F$5,Invoices!$B$6:$B$505,"&lt;="&amp;EOMONTH(F$5,0))))</f>
        <v/>
      </c>
      <c r="G26" s="35" t="str">
        <f aca="false">IF($A26="","",IF(Settings!$C$11="Paid",SUMIFS(Invoices!$I$6:$I$505,Invoices!$C$6:$C$505,$A26,Invoices!$H$6:$H$505,"&gt;="&amp;G$5,Invoices!$H$6:$H$505,"&lt;="&amp;EOMONTH(G$5,0)),SUMIFS(Invoices!$E$6:$E$505,Invoices!$C$6:$C$505,$A26,Invoices!$B$6:$B$505,"&gt;="&amp;G$5,Invoices!$B$6:$B$505,"&lt;="&amp;EOMONTH(G$5,0))))</f>
        <v/>
      </c>
      <c r="H26" s="35" t="str">
        <f aca="false">IF($A26="","",IF(Settings!$C$11="Paid",SUMIFS(Invoices!$I$6:$I$505,Invoices!$C$6:$C$505,$A26,Invoices!$H$6:$H$505,"&gt;="&amp;H$5,Invoices!$H$6:$H$505,"&lt;="&amp;EOMONTH(H$5,0)),SUMIFS(Invoices!$E$6:$E$505,Invoices!$C$6:$C$505,$A26,Invoices!$B$6:$B$505,"&gt;="&amp;H$5,Invoices!$B$6:$B$505,"&lt;="&amp;EOMONTH(H$5,0))))</f>
        <v/>
      </c>
      <c r="I26" s="35" t="str">
        <f aca="false">IF($A26="","",IF(Settings!$C$11="Paid",SUMIFS(Invoices!$I$6:$I$505,Invoices!$C$6:$C$505,$A26,Invoices!$H$6:$H$505,"&gt;="&amp;I$5,Invoices!$H$6:$H$505,"&lt;="&amp;EOMONTH(I$5,0)),SUMIFS(Invoices!$E$6:$E$505,Invoices!$C$6:$C$505,$A26,Invoices!$B$6:$B$505,"&gt;="&amp;I$5,Invoices!$B$6:$B$505,"&lt;="&amp;EOMONTH(I$5,0))))</f>
        <v/>
      </c>
      <c r="J26" s="35" t="str">
        <f aca="false">IF($A26="","",IF(Settings!$C$11="Paid",SUMIFS(Invoices!$I$6:$I$505,Invoices!$C$6:$C$505,$A26,Invoices!$H$6:$H$505,"&gt;="&amp;J$5,Invoices!$H$6:$H$505,"&lt;="&amp;EOMONTH(J$5,0)),SUMIFS(Invoices!$E$6:$E$505,Invoices!$C$6:$C$505,$A26,Invoices!$B$6:$B$505,"&gt;="&amp;J$5,Invoices!$B$6:$B$505,"&lt;="&amp;EOMONTH(J$5,0))))</f>
        <v/>
      </c>
      <c r="K26" s="35" t="str">
        <f aca="false">IF($A26="","",IF(Settings!$C$11="Paid",SUMIFS(Invoices!$I$6:$I$505,Invoices!$C$6:$C$505,$A26,Invoices!$H$6:$H$505,"&gt;="&amp;K$5,Invoices!$H$6:$H$505,"&lt;="&amp;EOMONTH(K$5,0)),SUMIFS(Invoices!$E$6:$E$505,Invoices!$C$6:$C$505,$A26,Invoices!$B$6:$B$505,"&gt;="&amp;K$5,Invoices!$B$6:$B$505,"&lt;="&amp;EOMONTH(K$5,0))))</f>
        <v/>
      </c>
      <c r="L26" s="35" t="str">
        <f aca="false">IF($A26="","",IF(Settings!$C$11="Paid",SUMIFS(Invoices!$I$6:$I$505,Invoices!$C$6:$C$505,$A26,Invoices!$H$6:$H$505,"&gt;="&amp;L$5,Invoices!$H$6:$H$505,"&lt;="&amp;EOMONTH(L$5,0)),SUMIFS(Invoices!$E$6:$E$505,Invoices!$C$6:$C$505,$A26,Invoices!$B$6:$B$505,"&gt;="&amp;L$5,Invoices!$B$6:$B$505,"&lt;="&amp;EOMONTH(L$5,0))))</f>
        <v/>
      </c>
      <c r="M26" s="35" t="str">
        <f aca="false">IF($A26="","",IF(Settings!$C$11="Paid",SUMIFS(Invoices!$I$6:$I$505,Invoices!$C$6:$C$505,$A26,Invoices!$H$6:$H$505,"&gt;="&amp;M$5,Invoices!$H$6:$H$505,"&lt;="&amp;EOMONTH(M$5,0)),SUMIFS(Invoices!$E$6:$E$505,Invoices!$C$6:$C$505,$A26,Invoices!$B$6:$B$505,"&gt;="&amp;M$5,Invoices!$B$6:$B$505,"&lt;="&amp;EOMONTH(M$5,0))))</f>
        <v/>
      </c>
      <c r="N26" s="55" t="str">
        <f aca="false">IF($A26="","",SUM(B26:M26))</f>
        <v/>
      </c>
      <c r="O26" s="37" t="str">
        <f aca="false">IF(OR($A26="",N($N$28)=0),"",N26/$N$28)</f>
        <v/>
      </c>
    </row>
    <row r="27" customFormat="false" ht="15" hidden="false" customHeight="false" outlineLevel="0" collapsed="false">
      <c r="A27" s="81" t="s">
        <v>413</v>
      </c>
      <c r="B27" s="35" t="n">
        <f aca="false">B28-SUM(B7:B26)</f>
        <v>0</v>
      </c>
      <c r="C27" s="35" t="n">
        <f aca="false">C28-SUM(C7:C26)</f>
        <v>0</v>
      </c>
      <c r="D27" s="35" t="n">
        <f aca="false">D28-SUM(D7:D26)</f>
        <v>0</v>
      </c>
      <c r="E27" s="35" t="n">
        <f aca="false">E28-SUM(E7:E26)</f>
        <v>0</v>
      </c>
      <c r="F27" s="35" t="n">
        <f aca="false">F28-SUM(F7:F26)</f>
        <v>0</v>
      </c>
      <c r="G27" s="35" t="n">
        <f aca="false">G28-SUM(G7:G26)</f>
        <v>0</v>
      </c>
      <c r="H27" s="35" t="n">
        <f aca="false">H28-SUM(H7:H26)</f>
        <v>0</v>
      </c>
      <c r="I27" s="35" t="n">
        <f aca="false">I28-SUM(I7:I26)</f>
        <v>0</v>
      </c>
      <c r="J27" s="35" t="n">
        <f aca="false">J28-SUM(J7:J26)</f>
        <v>0</v>
      </c>
      <c r="K27" s="35" t="n">
        <f aca="false">K28-SUM(K7:K26)</f>
        <v>0</v>
      </c>
      <c r="L27" s="35" t="n">
        <f aca="false">L28-SUM(L7:L26)</f>
        <v>0</v>
      </c>
      <c r="M27" s="35" t="n">
        <f aca="false">M28-SUM(M7:M26)</f>
        <v>0</v>
      </c>
      <c r="N27" s="55" t="n">
        <f aca="false">SUM(B27:M27)</f>
        <v>0</v>
      </c>
      <c r="O27" s="37" t="n">
        <f aca="false">IF(N($N$28)=0,"",N27/$N$28)</f>
        <v>0</v>
      </c>
    </row>
    <row r="28" customFormat="false" ht="15" hidden="false" customHeight="false" outlineLevel="0" collapsed="false">
      <c r="A28" s="82" t="s">
        <v>414</v>
      </c>
      <c r="B28" s="83" t="n">
        <f aca="false">IF(Settings!$C$11="Paid",SUMIFS(Invoices!$I$6:$I$505,Invoices!$H$6:$H$505,"&gt;="&amp;B$5,Invoices!$H$6:$H$505,"&lt;="&amp;EOMONTH(B$5,0)),SUMIFS(Invoices!$E$6:$E$505,Invoices!$B$6:$B$505,"&gt;="&amp;B$5,Invoices!$B$6:$B$505,"&lt;="&amp;EOMONTH(B$5,0)))</f>
        <v>5700</v>
      </c>
      <c r="C28" s="83" t="n">
        <f aca="false">IF(Settings!$C$11="Paid",SUMIFS(Invoices!$I$6:$I$505,Invoices!$H$6:$H$505,"&gt;="&amp;C$5,Invoices!$H$6:$H$505,"&lt;="&amp;EOMONTH(C$5,0)),SUMIFS(Invoices!$E$6:$E$505,Invoices!$B$6:$B$505,"&gt;="&amp;C$5,Invoices!$B$6:$B$505,"&lt;="&amp;EOMONTH(C$5,0)))</f>
        <v>9075</v>
      </c>
      <c r="D28" s="83" t="n">
        <f aca="false">IF(Settings!$C$11="Paid",SUMIFS(Invoices!$I$6:$I$505,Invoices!$H$6:$H$505,"&gt;="&amp;D$5,Invoices!$H$6:$H$505,"&lt;="&amp;EOMONTH(D$5,0)),SUMIFS(Invoices!$E$6:$E$505,Invoices!$B$6:$B$505,"&gt;="&amp;D$5,Invoices!$B$6:$B$505,"&lt;="&amp;EOMONTH(D$5,0)))</f>
        <v>16427.5</v>
      </c>
      <c r="E28" s="83" t="n">
        <f aca="false">IF(Settings!$C$11="Paid",SUMIFS(Invoices!$I$6:$I$505,Invoices!$H$6:$H$505,"&gt;="&amp;E$5,Invoices!$H$6:$H$505,"&lt;="&amp;EOMONTH(E$5,0)),SUMIFS(Invoices!$E$6:$E$505,Invoices!$B$6:$B$505,"&gt;="&amp;E$5,Invoices!$B$6:$B$505,"&lt;="&amp;EOMONTH(E$5,0)))</f>
        <v>8450</v>
      </c>
      <c r="F28" s="83" t="n">
        <f aca="false">IF(Settings!$C$11="Paid",SUMIFS(Invoices!$I$6:$I$505,Invoices!$H$6:$H$505,"&gt;="&amp;F$5,Invoices!$H$6:$H$505,"&lt;="&amp;EOMONTH(F$5,0)),SUMIFS(Invoices!$E$6:$E$505,Invoices!$B$6:$B$505,"&gt;="&amp;F$5,Invoices!$B$6:$B$505,"&lt;="&amp;EOMONTH(F$5,0)))</f>
        <v>12422.5</v>
      </c>
      <c r="G28" s="83" t="n">
        <f aca="false">IF(Settings!$C$11="Paid",SUMIFS(Invoices!$I$6:$I$505,Invoices!$H$6:$H$505,"&gt;="&amp;G$5,Invoices!$H$6:$H$505,"&lt;="&amp;EOMONTH(G$5,0)),SUMIFS(Invoices!$E$6:$E$505,Invoices!$B$6:$B$505,"&gt;="&amp;G$5,Invoices!$B$6:$B$505,"&lt;="&amp;EOMONTH(G$5,0)))</f>
        <v>15503.75</v>
      </c>
      <c r="H28" s="83" t="n">
        <f aca="false">IF(Settings!$C$11="Paid",SUMIFS(Invoices!$I$6:$I$505,Invoices!$H$6:$H$505,"&gt;="&amp;H$5,Invoices!$H$6:$H$505,"&lt;="&amp;EOMONTH(H$5,0)),SUMIFS(Invoices!$E$6:$E$505,Invoices!$B$6:$B$505,"&gt;="&amp;H$5,Invoices!$B$6:$B$505,"&lt;="&amp;EOMONTH(H$5,0)))</f>
        <v>14132.5</v>
      </c>
      <c r="I28" s="83" t="n">
        <f aca="false">IF(Settings!$C$11="Paid",SUMIFS(Invoices!$I$6:$I$505,Invoices!$H$6:$H$505,"&gt;="&amp;I$5,Invoices!$H$6:$H$505,"&lt;="&amp;EOMONTH(I$5,0)),SUMIFS(Invoices!$E$6:$E$505,Invoices!$B$6:$B$505,"&gt;="&amp;I$5,Invoices!$B$6:$B$505,"&lt;="&amp;EOMONTH(I$5,0)))</f>
        <v>14963.75</v>
      </c>
      <c r="J28" s="83" t="n">
        <f aca="false">IF(Settings!$C$11="Paid",SUMIFS(Invoices!$I$6:$I$505,Invoices!$H$6:$H$505,"&gt;="&amp;J$5,Invoices!$H$6:$H$505,"&lt;="&amp;EOMONTH(J$5,0)),SUMIFS(Invoices!$E$6:$E$505,Invoices!$B$6:$B$505,"&gt;="&amp;J$5,Invoices!$B$6:$B$505,"&lt;="&amp;EOMONTH(J$5,0)))</f>
        <v>12685</v>
      </c>
      <c r="K28" s="83" t="n">
        <f aca="false">IF(Settings!$C$11="Paid",SUMIFS(Invoices!$I$6:$I$505,Invoices!$H$6:$H$505,"&gt;="&amp;K$5,Invoices!$H$6:$H$505,"&lt;="&amp;EOMONTH(K$5,0)),SUMIFS(Invoices!$E$6:$E$505,Invoices!$B$6:$B$505,"&gt;="&amp;K$5,Invoices!$B$6:$B$505,"&lt;="&amp;EOMONTH(K$5,0)))</f>
        <v>5390</v>
      </c>
      <c r="L28" s="83" t="n">
        <f aca="false">IF(Settings!$C$11="Paid",SUMIFS(Invoices!$I$6:$I$505,Invoices!$H$6:$H$505,"&gt;="&amp;L$5,Invoices!$H$6:$H$505,"&lt;="&amp;EOMONTH(L$5,0)),SUMIFS(Invoices!$E$6:$E$505,Invoices!$B$6:$B$505,"&gt;="&amp;L$5,Invoices!$B$6:$B$505,"&lt;="&amp;EOMONTH(L$5,0)))</f>
        <v>0</v>
      </c>
      <c r="M28" s="83" t="n">
        <f aca="false">IF(Settings!$C$11="Paid",SUMIFS(Invoices!$I$6:$I$505,Invoices!$H$6:$H$505,"&gt;="&amp;M$5,Invoices!$H$6:$H$505,"&lt;="&amp;EOMONTH(M$5,0)),SUMIFS(Invoices!$E$6:$E$505,Invoices!$B$6:$B$505,"&gt;="&amp;M$5,Invoices!$B$6:$B$505,"&lt;="&amp;EOMONTH(M$5,0)))</f>
        <v>0</v>
      </c>
      <c r="N28" s="83" t="n">
        <f aca="false">SUM(B28:M28)</f>
        <v>114750</v>
      </c>
      <c r="O28" s="84" t="n">
        <f aca="false">IF(N($N$28)=0,"",N28/$N$28)</f>
        <v>1</v>
      </c>
    </row>
    <row r="30" customFormat="false" ht="15" hidden="false" customHeight="false" outlineLevel="0" collapsed="false">
      <c r="A30" s="28" t="s">
        <v>415</v>
      </c>
      <c r="B30" s="6"/>
      <c r="C30" s="6"/>
      <c r="D30" s="6"/>
      <c r="E30" s="6"/>
      <c r="F30" s="6"/>
      <c r="G30" s="6"/>
      <c r="H30" s="6"/>
      <c r="I30" s="6"/>
      <c r="J30" s="6"/>
      <c r="K30" s="6"/>
      <c r="L30" s="6"/>
      <c r="M30" s="6"/>
      <c r="N30" s="6"/>
      <c r="O30" s="6"/>
    </row>
    <row r="31" customFormat="false" ht="15" hidden="false" customHeight="false" outlineLevel="0" collapsed="false">
      <c r="A31" s="81" t="s">
        <v>416</v>
      </c>
      <c r="B31" s="35" t="n">
        <f aca="false">SUMIFS(Expenses!$F$6:$F$805,Expenses!$E$6:$E$805,Settings!$G$18,Expenses!$A$6:$A$805,"&gt;="&amp;B$5,Expenses!$A$6:$A$805,"&lt;="&amp;EOMONTH(B$5,0))</f>
        <v>700</v>
      </c>
      <c r="C31" s="35" t="n">
        <f aca="false">SUMIFS(Expenses!$F$6:$F$805,Expenses!$E$6:$E$805,Settings!$G$18,Expenses!$A$6:$A$805,"&gt;="&amp;C$5,Expenses!$A$6:$A$805,"&lt;="&amp;EOMONTH(C$5,0))</f>
        <v>450</v>
      </c>
      <c r="D31" s="35" t="n">
        <f aca="false">SUMIFS(Expenses!$F$6:$F$805,Expenses!$E$6:$E$805,Settings!$G$18,Expenses!$A$6:$A$805,"&gt;="&amp;D$5,Expenses!$A$6:$A$805,"&lt;="&amp;EOMONTH(D$5,0))</f>
        <v>1950</v>
      </c>
      <c r="E31" s="35" t="n">
        <f aca="false">SUMIFS(Expenses!$F$6:$F$805,Expenses!$E$6:$E$805,Settings!$G$18,Expenses!$A$6:$A$805,"&gt;="&amp;E$5,Expenses!$A$6:$A$805,"&lt;="&amp;EOMONTH(E$5,0))</f>
        <v>2200</v>
      </c>
      <c r="F31" s="35" t="n">
        <f aca="false">SUMIFS(Expenses!$F$6:$F$805,Expenses!$E$6:$E$805,Settings!$G$18,Expenses!$A$6:$A$805,"&gt;="&amp;F$5,Expenses!$A$6:$A$805,"&lt;="&amp;EOMONTH(F$5,0))</f>
        <v>450</v>
      </c>
      <c r="G31" s="35" t="n">
        <f aca="false">SUMIFS(Expenses!$F$6:$F$805,Expenses!$E$6:$E$805,Settings!$G$18,Expenses!$A$6:$A$805,"&gt;="&amp;G$5,Expenses!$A$6:$A$805,"&lt;="&amp;EOMONTH(G$5,0))</f>
        <v>700</v>
      </c>
      <c r="H31" s="35" t="n">
        <f aca="false">SUMIFS(Expenses!$F$6:$F$805,Expenses!$E$6:$E$805,Settings!$G$18,Expenses!$A$6:$A$805,"&gt;="&amp;H$5,Expenses!$A$6:$A$805,"&lt;="&amp;EOMONTH(H$5,0))</f>
        <v>450</v>
      </c>
      <c r="I31" s="35" t="n">
        <f aca="false">SUMIFS(Expenses!$F$6:$F$805,Expenses!$E$6:$E$805,Settings!$G$18,Expenses!$A$6:$A$805,"&gt;="&amp;I$5,Expenses!$A$6:$A$805,"&lt;="&amp;EOMONTH(I$5,0))</f>
        <v>1200</v>
      </c>
      <c r="J31" s="35" t="n">
        <f aca="false">SUMIFS(Expenses!$F$6:$F$805,Expenses!$E$6:$E$805,Settings!$G$18,Expenses!$A$6:$A$805,"&gt;="&amp;J$5,Expenses!$A$6:$A$805,"&lt;="&amp;EOMONTH(J$5,0))</f>
        <v>450</v>
      </c>
      <c r="K31" s="35" t="n">
        <f aca="false">SUMIFS(Expenses!$F$6:$F$805,Expenses!$E$6:$E$805,Settings!$G$18,Expenses!$A$6:$A$805,"&gt;="&amp;K$5,Expenses!$A$6:$A$805,"&lt;="&amp;EOMONTH(K$5,0))</f>
        <v>0</v>
      </c>
      <c r="L31" s="35" t="n">
        <f aca="false">SUMIFS(Expenses!$F$6:$F$805,Expenses!$E$6:$E$805,Settings!$G$18,Expenses!$A$6:$A$805,"&gt;="&amp;L$5,Expenses!$A$6:$A$805,"&lt;="&amp;EOMONTH(L$5,0))</f>
        <v>0</v>
      </c>
      <c r="M31" s="35" t="n">
        <f aca="false">SUMIFS(Expenses!$F$6:$F$805,Expenses!$E$6:$E$805,Settings!$G$18,Expenses!$A$6:$A$805,"&gt;="&amp;M$5,Expenses!$A$6:$A$805,"&lt;="&amp;EOMONTH(M$5,0))</f>
        <v>0</v>
      </c>
      <c r="N31" s="55" t="n">
        <f aca="false">SUM(B31:M31)</f>
        <v>8550</v>
      </c>
      <c r="O31" s="37" t="n">
        <f aca="false">IF(N($N$28)=0,"",N31/$N$28)</f>
        <v>0.0745098039215686</v>
      </c>
    </row>
    <row r="32" customFormat="false" ht="15" hidden="false" customHeight="false" outlineLevel="0" collapsed="false">
      <c r="A32" s="50" t="s">
        <v>417</v>
      </c>
      <c r="B32" s="85" t="n">
        <f aca="false">B28-B31</f>
        <v>5000</v>
      </c>
      <c r="C32" s="85" t="n">
        <f aca="false">C28-C31</f>
        <v>8625</v>
      </c>
      <c r="D32" s="85" t="n">
        <f aca="false">D28-D31</f>
        <v>14477.5</v>
      </c>
      <c r="E32" s="85" t="n">
        <f aca="false">E28-E31</f>
        <v>6250</v>
      </c>
      <c r="F32" s="85" t="n">
        <f aca="false">F28-F31</f>
        <v>11972.5</v>
      </c>
      <c r="G32" s="85" t="n">
        <f aca="false">G28-G31</f>
        <v>14803.75</v>
      </c>
      <c r="H32" s="85" t="n">
        <f aca="false">H28-H31</f>
        <v>13682.5</v>
      </c>
      <c r="I32" s="85" t="n">
        <f aca="false">I28-I31</f>
        <v>13763.75</v>
      </c>
      <c r="J32" s="85" t="n">
        <f aca="false">J28-J31</f>
        <v>12235</v>
      </c>
      <c r="K32" s="85" t="n">
        <f aca="false">K28-K31</f>
        <v>5390</v>
      </c>
      <c r="L32" s="85" t="n">
        <f aca="false">L28-L31</f>
        <v>0</v>
      </c>
      <c r="M32" s="85" t="n">
        <f aca="false">M28-M31</f>
        <v>0</v>
      </c>
      <c r="N32" s="85" t="n">
        <f aca="false">SUM(B32:M32)</f>
        <v>106200</v>
      </c>
      <c r="O32" s="37" t="n">
        <f aca="false">IF(N($N$28)=0,"",N32/$N$28)</f>
        <v>0.925490196078431</v>
      </c>
    </row>
    <row r="33" customFormat="false" ht="15" hidden="false" customHeight="false" outlineLevel="0" collapsed="false">
      <c r="A33" s="81" t="s">
        <v>418</v>
      </c>
      <c r="B33" s="37" t="n">
        <f aca="false">IF(N(B28)=0,"",B32/B28)</f>
        <v>0.87719298245614</v>
      </c>
      <c r="C33" s="37" t="n">
        <f aca="false">IF(N(C28)=0,"",C32/C28)</f>
        <v>0.950413223140496</v>
      </c>
      <c r="D33" s="37" t="n">
        <f aca="false">IF(N(D28)=0,"",D32/D28)</f>
        <v>0.881296606300411</v>
      </c>
      <c r="E33" s="37" t="n">
        <f aca="false">IF(N(E28)=0,"",E32/E28)</f>
        <v>0.739644970414201</v>
      </c>
      <c r="F33" s="37" t="n">
        <f aca="false">IF(N(F28)=0,"",F32/F28)</f>
        <v>0.963775407526665</v>
      </c>
      <c r="G33" s="37" t="n">
        <f aca="false">IF(N(G28)=0,"",G32/G28)</f>
        <v>0.954849633153269</v>
      </c>
      <c r="H33" s="37" t="n">
        <f aca="false">IF(N(H28)=0,"",H32/H28)</f>
        <v>0.968158499911551</v>
      </c>
      <c r="I33" s="37" t="n">
        <f aca="false">IF(N(I28)=0,"",I32/I28)</f>
        <v>0.919806198312589</v>
      </c>
      <c r="J33" s="37" t="n">
        <f aca="false">IF(N(J28)=0,"",J32/J28)</f>
        <v>0.964525029562475</v>
      </c>
      <c r="K33" s="37" t="n">
        <f aca="false">IF(N(K28)=0,"",K32/K28)</f>
        <v>1</v>
      </c>
      <c r="L33" s="37" t="str">
        <f aca="false">IF(N(L28)=0,"",L32/L28)</f>
        <v/>
      </c>
      <c r="M33" s="37" t="str">
        <f aca="false">IF(N(M28)=0,"",M32/M28)</f>
        <v/>
      </c>
      <c r="N33" s="86" t="n">
        <f aca="false">IF(N(N28)=0,"",N32/N28)</f>
        <v>0.925490196078431</v>
      </c>
    </row>
    <row r="35" customFormat="false" ht="15" hidden="false" customHeight="false" outlineLevel="0" collapsed="false">
      <c r="A35" s="28" t="s">
        <v>419</v>
      </c>
      <c r="B35" s="6"/>
      <c r="C35" s="6"/>
      <c r="D35" s="6"/>
      <c r="E35" s="6"/>
      <c r="F35" s="6"/>
      <c r="G35" s="6"/>
      <c r="H35" s="6"/>
      <c r="I35" s="6"/>
      <c r="J35" s="6"/>
      <c r="K35" s="6"/>
      <c r="L35" s="6"/>
      <c r="M35" s="6"/>
      <c r="N35" s="6"/>
      <c r="O35" s="6"/>
    </row>
    <row r="36" customFormat="false" ht="15" hidden="false" customHeight="false" outlineLevel="0" collapsed="false">
      <c r="A36" s="81" t="s">
        <v>111</v>
      </c>
      <c r="B36" s="35" t="n">
        <f aca="false">SUMIFS(Expenses!$F$6:$F$805,Expenses!$E$6:$E$805,Settings!$G$16,Expenses!$A$6:$A$805,"&gt;="&amp;B$5,Expenses!$A$6:$A$805,"&lt;="&amp;EOMONTH(B$5,0))</f>
        <v>1572.7</v>
      </c>
      <c r="C36" s="35" t="n">
        <f aca="false">SUMIFS(Expenses!$F$6:$F$805,Expenses!$E$6:$E$805,Settings!$G$16,Expenses!$A$6:$A$805,"&gt;="&amp;C$5,Expenses!$A$6:$A$805,"&lt;="&amp;EOMONTH(C$5,0))</f>
        <v>1406.88</v>
      </c>
      <c r="D36" s="35" t="n">
        <f aca="false">SUMIFS(Expenses!$F$6:$F$805,Expenses!$E$6:$E$805,Settings!$G$16,Expenses!$A$6:$A$805,"&gt;="&amp;D$5,Expenses!$A$6:$A$805,"&lt;="&amp;EOMONTH(D$5,0))</f>
        <v>1850.02</v>
      </c>
      <c r="E36" s="35" t="n">
        <f aca="false">SUMIFS(Expenses!$F$6:$F$805,Expenses!$E$6:$E$805,Settings!$G$16,Expenses!$A$6:$A$805,"&gt;="&amp;E$5,Expenses!$A$6:$A$805,"&lt;="&amp;EOMONTH(E$5,0))</f>
        <v>1158.75</v>
      </c>
      <c r="F36" s="35" t="n">
        <f aca="false">SUMIFS(Expenses!$F$6:$F$805,Expenses!$E$6:$E$805,Settings!$G$16,Expenses!$A$6:$A$805,"&gt;="&amp;F$5,Expenses!$A$6:$A$805,"&lt;="&amp;EOMONTH(F$5,0))</f>
        <v>1254.76</v>
      </c>
      <c r="G36" s="35" t="n">
        <f aca="false">SUMIFS(Expenses!$F$6:$F$805,Expenses!$E$6:$E$805,Settings!$G$16,Expenses!$A$6:$A$805,"&gt;="&amp;G$5,Expenses!$A$6:$A$805,"&lt;="&amp;EOMONTH(G$5,0))</f>
        <v>1154.87</v>
      </c>
      <c r="H36" s="35" t="n">
        <f aca="false">SUMIFS(Expenses!$F$6:$F$805,Expenses!$E$6:$E$805,Settings!$G$16,Expenses!$A$6:$A$805,"&gt;="&amp;H$5,Expenses!$A$6:$A$805,"&lt;="&amp;EOMONTH(H$5,0))</f>
        <v>1254.54</v>
      </c>
      <c r="I36" s="35" t="n">
        <f aca="false">SUMIFS(Expenses!$F$6:$F$805,Expenses!$E$6:$E$805,Settings!$G$16,Expenses!$A$6:$A$805,"&gt;="&amp;I$5,Expenses!$A$6:$A$805,"&lt;="&amp;EOMONTH(I$5,0))</f>
        <v>1209.97</v>
      </c>
      <c r="J36" s="35" t="n">
        <f aca="false">SUMIFS(Expenses!$F$6:$F$805,Expenses!$E$6:$E$805,Settings!$G$16,Expenses!$A$6:$A$805,"&gt;="&amp;J$5,Expenses!$A$6:$A$805,"&lt;="&amp;EOMONTH(J$5,0))</f>
        <v>1253.36</v>
      </c>
      <c r="K36" s="35" t="n">
        <f aca="false">SUMIFS(Expenses!$F$6:$F$805,Expenses!$E$6:$E$805,Settings!$G$16,Expenses!$A$6:$A$805,"&gt;="&amp;K$5,Expenses!$A$6:$A$805,"&lt;="&amp;EOMONTH(K$5,0))</f>
        <v>0</v>
      </c>
      <c r="L36" s="35" t="n">
        <f aca="false">SUMIFS(Expenses!$F$6:$F$805,Expenses!$E$6:$E$805,Settings!$G$16,Expenses!$A$6:$A$805,"&gt;="&amp;L$5,Expenses!$A$6:$A$805,"&lt;="&amp;EOMONTH(L$5,0))</f>
        <v>0</v>
      </c>
      <c r="M36" s="35" t="n">
        <f aca="false">SUMIFS(Expenses!$F$6:$F$805,Expenses!$E$6:$E$805,Settings!$G$16,Expenses!$A$6:$A$805,"&gt;="&amp;M$5,Expenses!$A$6:$A$805,"&lt;="&amp;EOMONTH(M$5,0))</f>
        <v>0</v>
      </c>
      <c r="N36" s="55" t="n">
        <f aca="false">SUM(B36:M36)</f>
        <v>12115.85</v>
      </c>
      <c r="O36" s="37" t="n">
        <f aca="false">IF(N($N$28)=0,"",N36/$N$28)</f>
        <v>0.105584749455338</v>
      </c>
    </row>
    <row r="37" customFormat="false" ht="15" hidden="false" customHeight="false" outlineLevel="0" collapsed="false">
      <c r="A37" s="81" t="s">
        <v>420</v>
      </c>
      <c r="B37" s="35" t="n">
        <f aca="false">SUMIFS(Expenses!$F$6:$F$805,Expenses!$E$6:$E$805,Settings!$G$17,Expenses!$A$6:$A$805,"&gt;="&amp;B$5,Expenses!$A$6:$A$805,"&lt;="&amp;EOMONTH(B$5,0))</f>
        <v>963</v>
      </c>
      <c r="C37" s="35" t="n">
        <f aca="false">SUMIFS(Expenses!$F$6:$F$805,Expenses!$E$6:$E$805,Settings!$G$17,Expenses!$A$6:$A$805,"&gt;="&amp;C$5,Expenses!$A$6:$A$805,"&lt;="&amp;EOMONTH(C$5,0))</f>
        <v>443</v>
      </c>
      <c r="D37" s="35" t="n">
        <f aca="false">SUMIFS(Expenses!$F$6:$F$805,Expenses!$E$6:$E$805,Settings!$G$17,Expenses!$A$6:$A$805,"&gt;="&amp;D$5,Expenses!$A$6:$A$805,"&lt;="&amp;EOMONTH(D$5,0))</f>
        <v>543</v>
      </c>
      <c r="E37" s="35" t="n">
        <f aca="false">SUMIFS(Expenses!$F$6:$F$805,Expenses!$E$6:$E$805,Settings!$G$17,Expenses!$A$6:$A$805,"&gt;="&amp;E$5,Expenses!$A$6:$A$805,"&lt;="&amp;EOMONTH(E$5,0))</f>
        <v>1293</v>
      </c>
      <c r="F37" s="35" t="n">
        <f aca="false">SUMIFS(Expenses!$F$6:$F$805,Expenses!$E$6:$E$805,Settings!$G$17,Expenses!$A$6:$A$805,"&gt;="&amp;F$5,Expenses!$A$6:$A$805,"&lt;="&amp;EOMONTH(F$5,0))</f>
        <v>638</v>
      </c>
      <c r="G37" s="35" t="n">
        <f aca="false">SUMIFS(Expenses!$F$6:$F$805,Expenses!$E$6:$E$805,Settings!$G$17,Expenses!$A$6:$A$805,"&gt;="&amp;G$5,Expenses!$A$6:$A$805,"&lt;="&amp;EOMONTH(G$5,0))</f>
        <v>693</v>
      </c>
      <c r="H37" s="35" t="n">
        <f aca="false">SUMIFS(Expenses!$F$6:$F$805,Expenses!$E$6:$E$805,Settings!$G$17,Expenses!$A$6:$A$805,"&gt;="&amp;H$5,Expenses!$A$6:$A$805,"&lt;="&amp;EOMONTH(H$5,0))</f>
        <v>723</v>
      </c>
      <c r="I37" s="35" t="n">
        <f aca="false">SUMIFS(Expenses!$F$6:$F$805,Expenses!$E$6:$E$805,Settings!$G$17,Expenses!$A$6:$A$805,"&gt;="&amp;I$5,Expenses!$A$6:$A$805,"&lt;="&amp;EOMONTH(I$5,0))</f>
        <v>543</v>
      </c>
      <c r="J37" s="35" t="n">
        <f aca="false">SUMIFS(Expenses!$F$6:$F$805,Expenses!$E$6:$E$805,Settings!$G$17,Expenses!$A$6:$A$805,"&gt;="&amp;J$5,Expenses!$A$6:$A$805,"&lt;="&amp;EOMONTH(J$5,0))</f>
        <v>693</v>
      </c>
      <c r="K37" s="35" t="n">
        <f aca="false">SUMIFS(Expenses!$F$6:$F$805,Expenses!$E$6:$E$805,Settings!$G$17,Expenses!$A$6:$A$805,"&gt;="&amp;K$5,Expenses!$A$6:$A$805,"&lt;="&amp;EOMONTH(K$5,0))</f>
        <v>0</v>
      </c>
      <c r="L37" s="35" t="n">
        <f aca="false">SUMIFS(Expenses!$F$6:$F$805,Expenses!$E$6:$E$805,Settings!$G$17,Expenses!$A$6:$A$805,"&gt;="&amp;L$5,Expenses!$A$6:$A$805,"&lt;="&amp;EOMONTH(L$5,0))</f>
        <v>0</v>
      </c>
      <c r="M37" s="35" t="n">
        <f aca="false">SUMIFS(Expenses!$F$6:$F$805,Expenses!$E$6:$E$805,Settings!$G$17,Expenses!$A$6:$A$805,"&gt;="&amp;M$5,Expenses!$A$6:$A$805,"&lt;="&amp;EOMONTH(M$5,0))</f>
        <v>0</v>
      </c>
      <c r="N37" s="55" t="n">
        <f aca="false">SUM(B37:M37)</f>
        <v>6532</v>
      </c>
      <c r="O37" s="37" t="n">
        <f aca="false">IF(N($N$28)=0,"",N37/$N$28)</f>
        <v>0.0569237472766885</v>
      </c>
    </row>
    <row r="38" customFormat="false" ht="15" hidden="false" customHeight="false" outlineLevel="0" collapsed="false">
      <c r="A38" s="50" t="s">
        <v>421</v>
      </c>
      <c r="B38" s="55" t="n">
        <f aca="false">B31+B36+B37</f>
        <v>3235.7</v>
      </c>
      <c r="C38" s="55" t="n">
        <f aca="false">C31+C36+C37</f>
        <v>2299.88</v>
      </c>
      <c r="D38" s="55" t="n">
        <f aca="false">D31+D36+D37</f>
        <v>4343.02</v>
      </c>
      <c r="E38" s="55" t="n">
        <f aca="false">E31+E36+E37</f>
        <v>4651.75</v>
      </c>
      <c r="F38" s="55" t="n">
        <f aca="false">F31+F36+F37</f>
        <v>2342.76</v>
      </c>
      <c r="G38" s="55" t="n">
        <f aca="false">G31+G36+G37</f>
        <v>2547.87</v>
      </c>
      <c r="H38" s="55" t="n">
        <f aca="false">H31+H36+H37</f>
        <v>2427.54</v>
      </c>
      <c r="I38" s="55" t="n">
        <f aca="false">I31+I36+I37</f>
        <v>2952.97</v>
      </c>
      <c r="J38" s="55" t="n">
        <f aca="false">J31+J36+J37</f>
        <v>2396.36</v>
      </c>
      <c r="K38" s="55" t="n">
        <f aca="false">K31+K36+K37</f>
        <v>0</v>
      </c>
      <c r="L38" s="55" t="n">
        <f aca="false">L31+L36+L37</f>
        <v>0</v>
      </c>
      <c r="M38" s="55" t="n">
        <f aca="false">M31+M36+M37</f>
        <v>0</v>
      </c>
      <c r="N38" s="55" t="n">
        <f aca="false">SUM(B38:M38)</f>
        <v>27197.85</v>
      </c>
      <c r="O38" s="37" t="n">
        <f aca="false">IF(N($N$28)=0,"",N38/$N$28)</f>
        <v>0.237018300653595</v>
      </c>
    </row>
    <row r="39" customFormat="false" ht="15" hidden="false" customHeight="false" outlineLevel="0" collapsed="false">
      <c r="A39" s="28" t="s">
        <v>422</v>
      </c>
      <c r="B39" s="6"/>
      <c r="C39" s="6"/>
      <c r="D39" s="6"/>
      <c r="E39" s="6"/>
      <c r="F39" s="6"/>
      <c r="G39" s="6"/>
      <c r="H39" s="6"/>
      <c r="I39" s="6"/>
      <c r="J39" s="6"/>
      <c r="K39" s="6"/>
      <c r="L39" s="6"/>
      <c r="M39" s="6"/>
      <c r="N39" s="6"/>
      <c r="O39" s="6"/>
    </row>
    <row r="40" customFormat="false" ht="15" hidden="false" customHeight="false" outlineLevel="0" collapsed="false">
      <c r="A40" s="82" t="s">
        <v>423</v>
      </c>
      <c r="B40" s="87" t="n">
        <f aca="false">B28-B38</f>
        <v>2464.3</v>
      </c>
      <c r="C40" s="87" t="n">
        <f aca="false">C28-C38</f>
        <v>6775.12</v>
      </c>
      <c r="D40" s="87" t="n">
        <f aca="false">D28-D38</f>
        <v>12084.48</v>
      </c>
      <c r="E40" s="87" t="n">
        <f aca="false">E28-E38</f>
        <v>3798.25</v>
      </c>
      <c r="F40" s="87" t="n">
        <f aca="false">F28-F38</f>
        <v>10079.74</v>
      </c>
      <c r="G40" s="87" t="n">
        <f aca="false">G28-G38</f>
        <v>12955.88</v>
      </c>
      <c r="H40" s="87" t="n">
        <f aca="false">H28-H38</f>
        <v>11704.96</v>
      </c>
      <c r="I40" s="87" t="n">
        <f aca="false">I28-I38</f>
        <v>12010.78</v>
      </c>
      <c r="J40" s="87" t="n">
        <f aca="false">J28-J38</f>
        <v>10288.64</v>
      </c>
      <c r="K40" s="87" t="n">
        <f aca="false">K28-K38</f>
        <v>5390</v>
      </c>
      <c r="L40" s="87" t="n">
        <f aca="false">L28-L38</f>
        <v>0</v>
      </c>
      <c r="M40" s="87" t="n">
        <f aca="false">M28-M38</f>
        <v>0</v>
      </c>
      <c r="N40" s="87" t="n">
        <f aca="false">SUM(B40:M40)</f>
        <v>87552.15</v>
      </c>
      <c r="O40" s="84" t="n">
        <f aca="false">IF(N($N$28)=0,"",N40/$N$28)</f>
        <v>0.762981699346405</v>
      </c>
    </row>
    <row r="41" customFormat="false" ht="15" hidden="false" customHeight="false" outlineLevel="0" collapsed="false">
      <c r="A41" s="81" t="s">
        <v>424</v>
      </c>
      <c r="B41" s="37" t="n">
        <f aca="false">IF(N(B28)=0,"",B40/B28)</f>
        <v>0.432333333333333</v>
      </c>
      <c r="C41" s="37" t="n">
        <f aca="false">IF(N(C28)=0,"",C40/C28)</f>
        <v>0.746569696969697</v>
      </c>
      <c r="D41" s="37" t="n">
        <f aca="false">IF(N(D28)=0,"",D40/D28)</f>
        <v>0.73562501902298</v>
      </c>
      <c r="E41" s="37" t="n">
        <f aca="false">IF(N(E28)=0,"",E40/E28)</f>
        <v>0.449497041420118</v>
      </c>
      <c r="F41" s="37" t="n">
        <f aca="false">IF(N(F28)=0,"",F40/F28)</f>
        <v>0.811409941638157</v>
      </c>
      <c r="G41" s="37" t="n">
        <f aca="false">IF(N(G28)=0,"",G40/G28)</f>
        <v>0.835661049746029</v>
      </c>
      <c r="H41" s="37" t="n">
        <f aca="false">IF(N(H28)=0,"",H40/H28)</f>
        <v>0.828229966389528</v>
      </c>
      <c r="I41" s="37" t="n">
        <f aca="false">IF(N(I28)=0,"",I40/I28)</f>
        <v>0.802658424525938</v>
      </c>
      <c r="J41" s="37" t="n">
        <f aca="false">IF(N(J28)=0,"",J40/J28)</f>
        <v>0.811087110760741</v>
      </c>
      <c r="K41" s="37" t="n">
        <f aca="false">IF(N(K28)=0,"",K40/K28)</f>
        <v>1</v>
      </c>
      <c r="L41" s="37" t="str">
        <f aca="false">IF(N(L28)=0,"",L40/L28)</f>
        <v/>
      </c>
      <c r="M41" s="37" t="str">
        <f aca="false">IF(N(M28)=0,"",M40/M28)</f>
        <v/>
      </c>
      <c r="N41" s="86" t="n">
        <f aca="false">IF(N(N28)=0,"",N40/N28)</f>
        <v>0.762981699346405</v>
      </c>
    </row>
    <row r="42" customFormat="false" ht="15" hidden="false" customHeight="false" outlineLevel="0" collapsed="false">
      <c r="A42" s="81" t="s">
        <v>425</v>
      </c>
      <c r="B42" s="35" t="n">
        <f aca="false">MAX(0,B40)*Settings!$C$8</f>
        <v>690.004</v>
      </c>
      <c r="C42" s="35" t="n">
        <f aca="false">MAX(0,C40)*Settings!$C$8</f>
        <v>1897.0336</v>
      </c>
      <c r="D42" s="35" t="n">
        <f aca="false">MAX(0,D40)*Settings!$C$8</f>
        <v>3383.6544</v>
      </c>
      <c r="E42" s="35" t="n">
        <f aca="false">MAX(0,E40)*Settings!$C$8</f>
        <v>1063.51</v>
      </c>
      <c r="F42" s="35" t="n">
        <f aca="false">MAX(0,F40)*Settings!$C$8</f>
        <v>2822.3272</v>
      </c>
      <c r="G42" s="35" t="n">
        <f aca="false">MAX(0,G40)*Settings!$C$8</f>
        <v>3627.6464</v>
      </c>
      <c r="H42" s="35" t="n">
        <f aca="false">MAX(0,H40)*Settings!$C$8</f>
        <v>3277.3888</v>
      </c>
      <c r="I42" s="35" t="n">
        <f aca="false">MAX(0,I40)*Settings!$C$8</f>
        <v>3363.0184</v>
      </c>
      <c r="J42" s="35" t="n">
        <f aca="false">MAX(0,J40)*Settings!$C$8</f>
        <v>2880.8192</v>
      </c>
      <c r="K42" s="35" t="n">
        <f aca="false">MAX(0,K40)*Settings!$C$8</f>
        <v>1509.2</v>
      </c>
      <c r="L42" s="35" t="n">
        <f aca="false">MAX(0,L40)*Settings!$C$8</f>
        <v>0</v>
      </c>
      <c r="M42" s="35" t="n">
        <f aca="false">MAX(0,M40)*Settings!$C$8</f>
        <v>0</v>
      </c>
      <c r="N42" s="55" t="n">
        <f aca="false">SUM(B42:M42)</f>
        <v>24514.602</v>
      </c>
      <c r="O42" s="37" t="n">
        <f aca="false">IF(N($N$28)=0,"",N42/$N$28)</f>
        <v>0.213634875816993</v>
      </c>
    </row>
    <row r="43" customFormat="false" ht="15" hidden="false" customHeight="false" outlineLevel="0" collapsed="false">
      <c r="A43" s="81" t="s">
        <v>108</v>
      </c>
      <c r="B43" s="35" t="n">
        <f aca="false">SUMIFS(Expenses!$F$6:$F$805,Expenses!$D$6:$D$805,Settings!$B$16,Expenses!$A$6:$A$805,"&gt;="&amp;B$5,Expenses!$A$6:$A$805,"&lt;="&amp;EOMONTH(B$5,0))</f>
        <v>4500</v>
      </c>
      <c r="C43" s="35" t="n">
        <f aca="false">SUMIFS(Expenses!$F$6:$F$805,Expenses!$D$6:$D$805,Settings!$B$16,Expenses!$A$6:$A$805,"&gt;="&amp;C$5,Expenses!$A$6:$A$805,"&lt;="&amp;EOMONTH(C$5,0))</f>
        <v>4500</v>
      </c>
      <c r="D43" s="35" t="n">
        <f aca="false">SUMIFS(Expenses!$F$6:$F$805,Expenses!$D$6:$D$805,Settings!$B$16,Expenses!$A$6:$A$805,"&gt;="&amp;D$5,Expenses!$A$6:$A$805,"&lt;="&amp;EOMONTH(D$5,0))</f>
        <v>4500</v>
      </c>
      <c r="E43" s="35" t="n">
        <f aca="false">SUMIFS(Expenses!$F$6:$F$805,Expenses!$D$6:$D$805,Settings!$B$16,Expenses!$A$6:$A$805,"&gt;="&amp;E$5,Expenses!$A$6:$A$805,"&lt;="&amp;EOMONTH(E$5,0))</f>
        <v>4500</v>
      </c>
      <c r="F43" s="35" t="n">
        <f aca="false">SUMIFS(Expenses!$F$6:$F$805,Expenses!$D$6:$D$805,Settings!$B$16,Expenses!$A$6:$A$805,"&gt;="&amp;F$5,Expenses!$A$6:$A$805,"&lt;="&amp;EOMONTH(F$5,0))</f>
        <v>4500</v>
      </c>
      <c r="G43" s="35" t="n">
        <f aca="false">SUMIFS(Expenses!$F$6:$F$805,Expenses!$D$6:$D$805,Settings!$B$16,Expenses!$A$6:$A$805,"&gt;="&amp;G$5,Expenses!$A$6:$A$805,"&lt;="&amp;EOMONTH(G$5,0))</f>
        <v>4500</v>
      </c>
      <c r="H43" s="35" t="n">
        <f aca="false">SUMIFS(Expenses!$F$6:$F$805,Expenses!$D$6:$D$805,Settings!$B$16,Expenses!$A$6:$A$805,"&gt;="&amp;H$5,Expenses!$A$6:$A$805,"&lt;="&amp;EOMONTH(H$5,0))</f>
        <v>4500</v>
      </c>
      <c r="I43" s="35" t="n">
        <f aca="false">SUMIFS(Expenses!$F$6:$F$805,Expenses!$D$6:$D$805,Settings!$B$16,Expenses!$A$6:$A$805,"&gt;="&amp;I$5,Expenses!$A$6:$A$805,"&lt;="&amp;EOMONTH(I$5,0))</f>
        <v>4500</v>
      </c>
      <c r="J43" s="35" t="n">
        <f aca="false">SUMIFS(Expenses!$F$6:$F$805,Expenses!$D$6:$D$805,Settings!$B$16,Expenses!$A$6:$A$805,"&gt;="&amp;J$5,Expenses!$A$6:$A$805,"&lt;="&amp;EOMONTH(J$5,0))</f>
        <v>4500</v>
      </c>
      <c r="K43" s="35" t="n">
        <f aca="false">SUMIFS(Expenses!$F$6:$F$805,Expenses!$D$6:$D$805,Settings!$B$16,Expenses!$A$6:$A$805,"&gt;="&amp;K$5,Expenses!$A$6:$A$805,"&lt;="&amp;EOMONTH(K$5,0))</f>
        <v>0</v>
      </c>
      <c r="L43" s="35" t="n">
        <f aca="false">SUMIFS(Expenses!$F$6:$F$805,Expenses!$D$6:$D$805,Settings!$B$16,Expenses!$A$6:$A$805,"&gt;="&amp;L$5,Expenses!$A$6:$A$805,"&lt;="&amp;EOMONTH(L$5,0))</f>
        <v>0</v>
      </c>
      <c r="M43" s="35" t="n">
        <f aca="false">SUMIFS(Expenses!$F$6:$F$805,Expenses!$D$6:$D$805,Settings!$B$16,Expenses!$A$6:$A$805,"&gt;="&amp;M$5,Expenses!$A$6:$A$805,"&lt;="&amp;EOMONTH(M$5,0))</f>
        <v>0</v>
      </c>
      <c r="N43" s="55" t="n">
        <f aca="false">SUM(B43:M43)</f>
        <v>40500</v>
      </c>
      <c r="O43" s="37" t="n">
        <f aca="false">IF(N($N$28)=0,"",N43/$N$28)</f>
        <v>0.352941176470588</v>
      </c>
    </row>
    <row r="44" customFormat="false" ht="15" hidden="false" customHeight="false" outlineLevel="0" collapsed="false">
      <c r="A44" s="50" t="s">
        <v>426</v>
      </c>
      <c r="B44" s="85" t="n">
        <f aca="false">B40-B42-B43</f>
        <v>-2725.704</v>
      </c>
      <c r="C44" s="85" t="n">
        <f aca="false">C40-C42-C43</f>
        <v>378.0864</v>
      </c>
      <c r="D44" s="85" t="n">
        <f aca="false">D40-D42-D43</f>
        <v>4200.8256</v>
      </c>
      <c r="E44" s="85" t="n">
        <f aca="false">E40-E42-E43</f>
        <v>-1765.26</v>
      </c>
      <c r="F44" s="85" t="n">
        <f aca="false">F40-F42-F43</f>
        <v>2757.4128</v>
      </c>
      <c r="G44" s="85" t="n">
        <f aca="false">G40-G42-G43</f>
        <v>4828.2336</v>
      </c>
      <c r="H44" s="85" t="n">
        <f aca="false">H40-H42-H43</f>
        <v>3927.5712</v>
      </c>
      <c r="I44" s="85" t="n">
        <f aca="false">I40-I42-I43</f>
        <v>4147.7616</v>
      </c>
      <c r="J44" s="85" t="n">
        <f aca="false">J40-J42-J43</f>
        <v>2907.8208</v>
      </c>
      <c r="K44" s="85" t="n">
        <f aca="false">K40-K42-K43</f>
        <v>3880.8</v>
      </c>
      <c r="L44" s="85" t="n">
        <f aca="false">L40-L42-L43</f>
        <v>0</v>
      </c>
      <c r="M44" s="85" t="n">
        <f aca="false">M40-M42-M43</f>
        <v>0</v>
      </c>
      <c r="N44" s="85" t="n">
        <f aca="false">SUM(B44:M44)</f>
        <v>22537.548</v>
      </c>
      <c r="O44" s="37" t="n">
        <f aca="false">IF(N($N$28)=0,"",N44/$N$28)</f>
        <v>0.196405647058824</v>
      </c>
    </row>
    <row r="45" customFormat="false" ht="15" hidden="false" customHeight="false" outlineLevel="0" collapsed="false">
      <c r="A45" s="81" t="s">
        <v>427</v>
      </c>
      <c r="B45" s="37" t="n">
        <f aca="false">IF(N(B28)=0,"",B37/B28)</f>
        <v>0.168947368421053</v>
      </c>
      <c r="C45" s="37" t="n">
        <f aca="false">IF(N(C28)=0,"",C37/C28)</f>
        <v>0.0488154269972452</v>
      </c>
      <c r="D45" s="37" t="n">
        <f aca="false">IF(N(D28)=0,"",D37/D28)</f>
        <v>0.0330543296301933</v>
      </c>
      <c r="E45" s="37" t="n">
        <f aca="false">IF(N(E28)=0,"",E37/E28)</f>
        <v>0.15301775147929</v>
      </c>
      <c r="F45" s="37" t="n">
        <f aca="false">IF(N(F28)=0,"",F37/F28)</f>
        <v>0.0513584222177501</v>
      </c>
      <c r="G45" s="37" t="n">
        <f aca="false">IF(N(G28)=0,"",G37/G28)</f>
        <v>0.0446988631782633</v>
      </c>
      <c r="H45" s="37" t="n">
        <f aca="false">IF(N(H28)=0,"",H37/H28)</f>
        <v>0.0511586768087741</v>
      </c>
      <c r="I45" s="37" t="n">
        <f aca="false">IF(N(I28)=0,"",I37/I28)</f>
        <v>0.0362876952635536</v>
      </c>
      <c r="J45" s="37" t="n">
        <f aca="false">IF(N(J28)=0,"",J37/J28)</f>
        <v>0.0546314544737879</v>
      </c>
      <c r="K45" s="37" t="n">
        <f aca="false">IF(N(K28)=0,"",K37/K28)</f>
        <v>0</v>
      </c>
      <c r="L45" s="37" t="str">
        <f aca="false">IF(N(L28)=0,"",L37/L28)</f>
        <v/>
      </c>
      <c r="M45" s="37" t="str">
        <f aca="false">IF(N(M28)=0,"",M37/M28)</f>
        <v/>
      </c>
      <c r="N45" s="86" t="n">
        <f aca="false">IF(N(N28)=0,"",N37/N28)</f>
        <v>0.0569237472766885</v>
      </c>
    </row>
    <row r="47" customFormat="false" ht="15" hidden="false" customHeight="false" outlineLevel="0" collapsed="false">
      <c r="A47" s="28" t="s">
        <v>428</v>
      </c>
      <c r="B47" s="6"/>
      <c r="C47" s="6"/>
      <c r="D47" s="6"/>
      <c r="E47" s="6"/>
      <c r="F47" s="6"/>
      <c r="G47" s="6"/>
      <c r="H47" s="6"/>
      <c r="I47" s="6"/>
      <c r="J47" s="6"/>
      <c r="K47" s="6"/>
      <c r="L47" s="6"/>
      <c r="M47" s="6"/>
      <c r="N47" s="6"/>
      <c r="O47" s="6"/>
    </row>
    <row r="48" customFormat="false" ht="15" hidden="false" customHeight="false" outlineLevel="0" collapsed="false">
      <c r="A48" s="81" t="s">
        <v>236</v>
      </c>
      <c r="B48" s="36" t="n">
        <f aca="false">SUMIFS('Time Log'!$D$6:$D$705,'Time Log'!$E$6:$E$705,"Yes",'Time Log'!$A$6:$A$705,"&gt;="&amp;B$5,'Time Log'!$A$6:$A$705,"&lt;="&amp;EOMONTH(B$5,0))</f>
        <v>85</v>
      </c>
      <c r="C48" s="36" t="n">
        <f aca="false">SUMIFS('Time Log'!$D$6:$D$705,'Time Log'!$E$6:$E$705,"Yes",'Time Log'!$A$6:$A$705,"&gt;="&amp;C$5,'Time Log'!$A$6:$A$705,"&lt;="&amp;EOMONTH(C$5,0))</f>
        <v>82.75</v>
      </c>
      <c r="D48" s="36" t="n">
        <f aca="false">SUMIFS('Time Log'!$D$6:$D$705,'Time Log'!$E$6:$E$705,"Yes",'Time Log'!$A$6:$A$705,"&gt;="&amp;D$5,'Time Log'!$A$6:$A$705,"&lt;="&amp;EOMONTH(D$5,0))</f>
        <v>123.5</v>
      </c>
      <c r="E48" s="36" t="n">
        <f aca="false">SUMIFS('Time Log'!$D$6:$D$705,'Time Log'!$E$6:$E$705,"Yes",'Time Log'!$A$6:$A$705,"&gt;="&amp;E$5,'Time Log'!$A$6:$A$705,"&lt;="&amp;EOMONTH(E$5,0))</f>
        <v>107.5</v>
      </c>
      <c r="F48" s="36" t="n">
        <f aca="false">SUMIFS('Time Log'!$D$6:$D$705,'Time Log'!$E$6:$E$705,"Yes",'Time Log'!$A$6:$A$705,"&gt;="&amp;F$5,'Time Log'!$A$6:$A$705,"&lt;="&amp;EOMONTH(F$5,0))</f>
        <v>138.5</v>
      </c>
      <c r="G48" s="36" t="n">
        <f aca="false">SUMIFS('Time Log'!$D$6:$D$705,'Time Log'!$E$6:$E$705,"Yes",'Time Log'!$A$6:$A$705,"&gt;="&amp;G$5,'Time Log'!$A$6:$A$705,"&lt;="&amp;EOMONTH(G$5,0))</f>
        <v>92</v>
      </c>
      <c r="H48" s="36" t="n">
        <f aca="false">SUMIFS('Time Log'!$D$6:$D$705,'Time Log'!$E$6:$E$705,"Yes",'Time Log'!$A$6:$A$705,"&gt;="&amp;H$5,'Time Log'!$A$6:$A$705,"&lt;="&amp;EOMONTH(H$5,0))</f>
        <v>118</v>
      </c>
      <c r="I48" s="36" t="n">
        <f aca="false">SUMIFS('Time Log'!$D$6:$D$705,'Time Log'!$E$6:$E$705,"Yes",'Time Log'!$A$6:$A$705,"&gt;="&amp;I$5,'Time Log'!$A$6:$A$705,"&lt;="&amp;EOMONTH(I$5,0))</f>
        <v>108.5</v>
      </c>
      <c r="J48" s="36" t="n">
        <f aca="false">SUMIFS('Time Log'!$D$6:$D$705,'Time Log'!$E$6:$E$705,"Yes",'Time Log'!$A$6:$A$705,"&gt;="&amp;J$5,'Time Log'!$A$6:$A$705,"&lt;="&amp;EOMONTH(J$5,0))</f>
        <v>109.5</v>
      </c>
      <c r="K48" s="36" t="n">
        <f aca="false">SUMIFS('Time Log'!$D$6:$D$705,'Time Log'!$E$6:$E$705,"Yes",'Time Log'!$A$6:$A$705,"&gt;="&amp;K$5,'Time Log'!$A$6:$A$705,"&lt;="&amp;EOMONTH(K$5,0))</f>
        <v>44.75</v>
      </c>
      <c r="L48" s="36" t="n">
        <f aca="false">SUMIFS('Time Log'!$D$6:$D$705,'Time Log'!$E$6:$E$705,"Yes",'Time Log'!$A$6:$A$705,"&gt;="&amp;L$5,'Time Log'!$A$6:$A$705,"&lt;="&amp;EOMONTH(L$5,0))</f>
        <v>0</v>
      </c>
      <c r="M48" s="36" t="n">
        <f aca="false">SUMIFS('Time Log'!$D$6:$D$705,'Time Log'!$E$6:$E$705,"Yes",'Time Log'!$A$6:$A$705,"&gt;="&amp;M$5,'Time Log'!$A$6:$A$705,"&lt;="&amp;EOMONTH(M$5,0))</f>
        <v>0</v>
      </c>
      <c r="N48" s="88" t="n">
        <f aca="false">SUM(B48:M48)</f>
        <v>1010</v>
      </c>
    </row>
    <row r="49" customFormat="false" ht="15" hidden="false" customHeight="false" outlineLevel="0" collapsed="false">
      <c r="A49" s="81" t="s">
        <v>429</v>
      </c>
      <c r="B49" s="36" t="n">
        <f aca="false">SUMIFS('Time Log'!$D$6:$D$705,'Time Log'!$E$6:$E$705,"&lt;&gt;Yes",'Time Log'!$A$6:$A$705,"&gt;="&amp;B$5,'Time Log'!$A$6:$A$705,"&lt;="&amp;EOMONTH(B$5,0))</f>
        <v>31.25</v>
      </c>
      <c r="C49" s="36" t="n">
        <f aca="false">SUMIFS('Time Log'!$D$6:$D$705,'Time Log'!$E$6:$E$705,"&lt;&gt;Yes",'Time Log'!$A$6:$A$705,"&gt;="&amp;C$5,'Time Log'!$A$6:$A$705,"&lt;="&amp;EOMONTH(C$5,0))</f>
        <v>23.75</v>
      </c>
      <c r="D49" s="36" t="n">
        <f aca="false">SUMIFS('Time Log'!$D$6:$D$705,'Time Log'!$E$6:$E$705,"&lt;&gt;Yes",'Time Log'!$A$6:$A$705,"&gt;="&amp;D$5,'Time Log'!$A$6:$A$705,"&lt;="&amp;EOMONTH(D$5,0))</f>
        <v>21.5</v>
      </c>
      <c r="E49" s="36" t="n">
        <f aca="false">SUMIFS('Time Log'!$D$6:$D$705,'Time Log'!$E$6:$E$705,"&lt;&gt;Yes",'Time Log'!$A$6:$A$705,"&gt;="&amp;E$5,'Time Log'!$A$6:$A$705,"&lt;="&amp;EOMONTH(E$5,0))</f>
        <v>24.25</v>
      </c>
      <c r="F49" s="36" t="n">
        <f aca="false">SUMIFS('Time Log'!$D$6:$D$705,'Time Log'!$E$6:$E$705,"&lt;&gt;Yes",'Time Log'!$A$6:$A$705,"&gt;="&amp;F$5,'Time Log'!$A$6:$A$705,"&lt;="&amp;EOMONTH(F$5,0))</f>
        <v>28.5</v>
      </c>
      <c r="G49" s="36" t="n">
        <f aca="false">SUMIFS('Time Log'!$D$6:$D$705,'Time Log'!$E$6:$E$705,"&lt;&gt;Yes",'Time Log'!$A$6:$A$705,"&gt;="&amp;G$5,'Time Log'!$A$6:$A$705,"&lt;="&amp;EOMONTH(G$5,0))</f>
        <v>23.75</v>
      </c>
      <c r="H49" s="36" t="n">
        <f aca="false">SUMIFS('Time Log'!$D$6:$D$705,'Time Log'!$E$6:$E$705,"&lt;&gt;Yes",'Time Log'!$A$6:$A$705,"&gt;="&amp;H$5,'Time Log'!$A$6:$A$705,"&lt;="&amp;EOMONTH(H$5,0))</f>
        <v>29.25</v>
      </c>
      <c r="I49" s="36" t="n">
        <f aca="false">SUMIFS('Time Log'!$D$6:$D$705,'Time Log'!$E$6:$E$705,"&lt;&gt;Yes",'Time Log'!$A$6:$A$705,"&gt;="&amp;I$5,'Time Log'!$A$6:$A$705,"&lt;="&amp;EOMONTH(I$5,0))</f>
        <v>22.25</v>
      </c>
      <c r="J49" s="36" t="n">
        <f aca="false">SUMIFS('Time Log'!$D$6:$D$705,'Time Log'!$E$6:$E$705,"&lt;&gt;Yes",'Time Log'!$A$6:$A$705,"&gt;="&amp;J$5,'Time Log'!$A$6:$A$705,"&lt;="&amp;EOMONTH(J$5,0))</f>
        <v>22.75</v>
      </c>
      <c r="K49" s="36" t="n">
        <f aca="false">SUMIFS('Time Log'!$D$6:$D$705,'Time Log'!$E$6:$E$705,"&lt;&gt;Yes",'Time Log'!$A$6:$A$705,"&gt;="&amp;K$5,'Time Log'!$A$6:$A$705,"&lt;="&amp;EOMONTH(K$5,0))</f>
        <v>11.5</v>
      </c>
      <c r="L49" s="36" t="n">
        <f aca="false">SUMIFS('Time Log'!$D$6:$D$705,'Time Log'!$E$6:$E$705,"&lt;&gt;Yes",'Time Log'!$A$6:$A$705,"&gt;="&amp;L$5,'Time Log'!$A$6:$A$705,"&lt;="&amp;EOMONTH(L$5,0))</f>
        <v>0</v>
      </c>
      <c r="M49" s="36" t="n">
        <f aca="false">SUMIFS('Time Log'!$D$6:$D$705,'Time Log'!$E$6:$E$705,"&lt;&gt;Yes",'Time Log'!$A$6:$A$705,"&gt;="&amp;M$5,'Time Log'!$A$6:$A$705,"&lt;="&amp;EOMONTH(M$5,0))</f>
        <v>0</v>
      </c>
      <c r="N49" s="88" t="n">
        <f aca="false">SUM(B49:M49)</f>
        <v>238.75</v>
      </c>
    </row>
    <row r="50" customFormat="false" ht="15" hidden="false" customHeight="false" outlineLevel="0" collapsed="false">
      <c r="A50" s="50" t="s">
        <v>430</v>
      </c>
      <c r="B50" s="88" t="n">
        <f aca="false">B48+B49</f>
        <v>116.25</v>
      </c>
      <c r="C50" s="88" t="n">
        <f aca="false">C48+C49</f>
        <v>106.5</v>
      </c>
      <c r="D50" s="88" t="n">
        <f aca="false">D48+D49</f>
        <v>145</v>
      </c>
      <c r="E50" s="88" t="n">
        <f aca="false">E48+E49</f>
        <v>131.75</v>
      </c>
      <c r="F50" s="88" t="n">
        <f aca="false">F48+F49</f>
        <v>167</v>
      </c>
      <c r="G50" s="88" t="n">
        <f aca="false">G48+G49</f>
        <v>115.75</v>
      </c>
      <c r="H50" s="88" t="n">
        <f aca="false">H48+H49</f>
        <v>147.25</v>
      </c>
      <c r="I50" s="88" t="n">
        <f aca="false">I48+I49</f>
        <v>130.75</v>
      </c>
      <c r="J50" s="88" t="n">
        <f aca="false">J48+J49</f>
        <v>132.25</v>
      </c>
      <c r="K50" s="88" t="n">
        <f aca="false">K48+K49</f>
        <v>56.25</v>
      </c>
      <c r="L50" s="88" t="n">
        <f aca="false">L48+L49</f>
        <v>0</v>
      </c>
      <c r="M50" s="88" t="n">
        <f aca="false">M48+M49</f>
        <v>0</v>
      </c>
      <c r="N50" s="88" t="n">
        <f aca="false">SUM(B50:M50)</f>
        <v>1248.75</v>
      </c>
    </row>
    <row r="51" customFormat="false" ht="15" hidden="false" customHeight="false" outlineLevel="0" collapsed="false">
      <c r="A51" s="81" t="s">
        <v>431</v>
      </c>
      <c r="B51" s="37" t="n">
        <f aca="false">IF(N(B50)=0,"",B48/B50)</f>
        <v>0.731182795698925</v>
      </c>
      <c r="C51" s="37" t="n">
        <f aca="false">IF(N(C50)=0,"",C48/C50)</f>
        <v>0.776995305164319</v>
      </c>
      <c r="D51" s="37" t="n">
        <f aca="false">IF(N(D50)=0,"",D48/D50)</f>
        <v>0.851724137931035</v>
      </c>
      <c r="E51" s="37" t="n">
        <f aca="false">IF(N(E50)=0,"",E48/E50)</f>
        <v>0.815939278937381</v>
      </c>
      <c r="F51" s="37" t="n">
        <f aca="false">IF(N(F50)=0,"",F48/F50)</f>
        <v>0.82934131736527</v>
      </c>
      <c r="G51" s="37" t="n">
        <f aca="false">IF(N(G50)=0,"",G48/G50)</f>
        <v>0.794816414686825</v>
      </c>
      <c r="H51" s="37" t="n">
        <f aca="false">IF(N(H50)=0,"",H48/H50)</f>
        <v>0.801358234295416</v>
      </c>
      <c r="I51" s="37" t="n">
        <f aca="false">IF(N(I50)=0,"",I48/I50)</f>
        <v>0.829827915869981</v>
      </c>
      <c r="J51" s="37" t="n">
        <f aca="false">IF(N(J50)=0,"",J48/J50)</f>
        <v>0.827977315689981</v>
      </c>
      <c r="K51" s="37" t="n">
        <f aca="false">IF(N(K50)=0,"",K48/K50)</f>
        <v>0.795555555555556</v>
      </c>
      <c r="L51" s="37" t="str">
        <f aca="false">IF(N(L50)=0,"",L48/L50)</f>
        <v/>
      </c>
      <c r="M51" s="37" t="str">
        <f aca="false">IF(N(M50)=0,"",M48/M50)</f>
        <v/>
      </c>
      <c r="N51" s="86" t="n">
        <f aca="false">IF(N(N50)=0,"",N48/N50)</f>
        <v>0.808808808808809</v>
      </c>
    </row>
    <row r="52" customFormat="false" ht="15" hidden="false" customHeight="false" outlineLevel="0" collapsed="false">
      <c r="A52" s="81" t="s">
        <v>432</v>
      </c>
      <c r="B52" s="36" t="n">
        <f aca="false">Settings!$C$9*DAY(EOMONTH(B$5,0))/7</f>
        <v>110.714285714286</v>
      </c>
      <c r="C52" s="36" t="n">
        <f aca="false">Settings!$C$9*DAY(EOMONTH(C$5,0))/7</f>
        <v>100</v>
      </c>
      <c r="D52" s="36" t="n">
        <f aca="false">Settings!$C$9*DAY(EOMONTH(D$5,0))/7</f>
        <v>110.714285714286</v>
      </c>
      <c r="E52" s="36" t="n">
        <f aca="false">Settings!$C$9*DAY(EOMONTH(E$5,0))/7</f>
        <v>107.142857142857</v>
      </c>
      <c r="F52" s="36" t="n">
        <f aca="false">Settings!$C$9*DAY(EOMONTH(F$5,0))/7</f>
        <v>110.714285714286</v>
      </c>
      <c r="G52" s="36" t="n">
        <f aca="false">Settings!$C$9*DAY(EOMONTH(G$5,0))/7</f>
        <v>107.142857142857</v>
      </c>
      <c r="H52" s="36" t="n">
        <f aca="false">Settings!$C$9*DAY(EOMONTH(H$5,0))/7</f>
        <v>110.714285714286</v>
      </c>
      <c r="I52" s="36" t="n">
        <f aca="false">Settings!$C$9*DAY(EOMONTH(I$5,0))/7</f>
        <v>110.714285714286</v>
      </c>
      <c r="J52" s="36" t="n">
        <f aca="false">Settings!$C$9*DAY(EOMONTH(J$5,0))/7</f>
        <v>107.142857142857</v>
      </c>
      <c r="K52" s="36" t="n">
        <f aca="false">Settings!$C$9*DAY(EOMONTH(K$5,0))/7</f>
        <v>110.714285714286</v>
      </c>
      <c r="L52" s="36" t="n">
        <f aca="false">Settings!$C$9*DAY(EOMONTH(L$5,0))/7</f>
        <v>107.142857142857</v>
      </c>
      <c r="M52" s="36" t="n">
        <f aca="false">Settings!$C$9*DAY(EOMONTH(M$5,0))/7</f>
        <v>110.714285714286</v>
      </c>
      <c r="N52" s="88" t="n">
        <f aca="false">SUM(B52:M52)</f>
        <v>1303.57142857143</v>
      </c>
    </row>
    <row r="53" customFormat="false" ht="15" hidden="false" customHeight="false" outlineLevel="0" collapsed="false">
      <c r="A53" s="81" t="s">
        <v>433</v>
      </c>
      <c r="B53" s="35" t="n">
        <f aca="false">IF(N(B48)=0,"",B28/B48)</f>
        <v>67.0588235294118</v>
      </c>
      <c r="C53" s="35" t="n">
        <f aca="false">IF(N(C48)=0,"",C28/C48)</f>
        <v>109.667673716012</v>
      </c>
      <c r="D53" s="35" t="n">
        <f aca="false">IF(N(D48)=0,"",D28/D48)</f>
        <v>133.016194331984</v>
      </c>
      <c r="E53" s="35" t="n">
        <f aca="false">IF(N(E48)=0,"",E28/E48)</f>
        <v>78.6046511627907</v>
      </c>
      <c r="F53" s="35" t="n">
        <f aca="false">IF(N(F48)=0,"",F28/F48)</f>
        <v>89.6931407942238</v>
      </c>
      <c r="G53" s="35" t="n">
        <f aca="false">IF(N(G48)=0,"",G28/G48)</f>
        <v>168.51902173913</v>
      </c>
      <c r="H53" s="35" t="n">
        <f aca="false">IF(N(H48)=0,"",H28/H48)</f>
        <v>119.766949152542</v>
      </c>
      <c r="I53" s="35" t="n">
        <f aca="false">IF(N(I48)=0,"",I28/I48)</f>
        <v>137.914746543779</v>
      </c>
      <c r="J53" s="35" t="n">
        <f aca="false">IF(N(J48)=0,"",J28/J48)</f>
        <v>115.844748858447</v>
      </c>
      <c r="K53" s="35" t="n">
        <f aca="false">IF(N(K48)=0,"",K28/K48)</f>
        <v>120.446927374302</v>
      </c>
      <c r="L53" s="35" t="str">
        <f aca="false">IF(N(L48)=0,"",L28/L48)</f>
        <v/>
      </c>
      <c r="M53" s="35" t="str">
        <f aca="false">IF(N(M48)=0,"",M28/M48)</f>
        <v/>
      </c>
      <c r="N53" s="55" t="n">
        <f aca="false">IF(N(N48)=0,"",N28/N48)</f>
        <v>113.613861386139</v>
      </c>
    </row>
    <row r="54" customFormat="false" ht="15" hidden="false" customHeight="false" outlineLevel="0" collapsed="false">
      <c r="A54" s="50" t="s">
        <v>434</v>
      </c>
      <c r="B54" s="55" t="n">
        <f aca="false">IF(N(B50)=0,"",B28/B50)</f>
        <v>49.0322580645161</v>
      </c>
      <c r="C54" s="55" t="n">
        <f aca="false">IF(N(C50)=0,"",C28/C50)</f>
        <v>85.2112676056338</v>
      </c>
      <c r="D54" s="55" t="n">
        <f aca="false">IF(N(D50)=0,"",D28/D50)</f>
        <v>113.293103448276</v>
      </c>
      <c r="E54" s="55" t="n">
        <f aca="false">IF(N(E50)=0,"",E28/E50)</f>
        <v>64.1366223908918</v>
      </c>
      <c r="F54" s="55" t="n">
        <f aca="false">IF(N(F50)=0,"",F28/F50)</f>
        <v>74.3862275449102</v>
      </c>
      <c r="G54" s="55" t="n">
        <f aca="false">IF(N(G50)=0,"",G28/G50)</f>
        <v>133.941684665227</v>
      </c>
      <c r="H54" s="55" t="n">
        <f aca="false">IF(N(H50)=0,"",H28/H50)</f>
        <v>95.9762308998302</v>
      </c>
      <c r="I54" s="55" t="n">
        <f aca="false">IF(N(I50)=0,"",I28/I50)</f>
        <v>114.445506692161</v>
      </c>
      <c r="J54" s="55" t="n">
        <f aca="false">IF(N(J50)=0,"",J28/J50)</f>
        <v>95.9168241965974</v>
      </c>
      <c r="K54" s="55" t="n">
        <f aca="false">IF(N(K50)=0,"",K28/K50)</f>
        <v>95.8222222222222</v>
      </c>
      <c r="L54" s="55" t="str">
        <f aca="false">IF(N(L50)=0,"",L28/L50)</f>
        <v/>
      </c>
      <c r="M54" s="55" t="str">
        <f aca="false">IF(N(M50)=0,"",M28/M50)</f>
        <v/>
      </c>
      <c r="N54" s="55" t="n">
        <f aca="false">IF(N(N50)=0,"",N28/N50)</f>
        <v>91.8918918918919</v>
      </c>
    </row>
    <row r="56" customFormat="false" ht="15" hidden="false" customHeight="false" outlineLevel="0" collapsed="false">
      <c r="A56" s="28" t="s">
        <v>435</v>
      </c>
      <c r="B56" s="6"/>
      <c r="C56" s="6"/>
      <c r="D56" s="6"/>
      <c r="E56" s="6"/>
      <c r="F56" s="6"/>
      <c r="G56" s="6"/>
      <c r="H56" s="6"/>
      <c r="I56" s="6"/>
      <c r="J56" s="6"/>
      <c r="K56" s="6"/>
      <c r="L56" s="6"/>
      <c r="M56" s="6"/>
      <c r="N56" s="6"/>
      <c r="O56" s="6"/>
    </row>
    <row r="57" customFormat="false" ht="15" hidden="false" customHeight="false" outlineLevel="0" collapsed="false">
      <c r="A57" s="78" t="str">
        <f aca="false">A7</f>
        <v>Copperline HVAC</v>
      </c>
      <c r="B57" s="36" t="n">
        <f aca="false">IF($A57="","",SUMIFS('Time Log'!$D$6:$D$705,'Time Log'!$B$6:$B$705,$A57,'Time Log'!$A$6:$A$705,"&gt;="&amp;B$5,'Time Log'!$A$6:$A$705,"&lt;="&amp;EOMONTH(B$5,0)))</f>
        <v>28.25</v>
      </c>
      <c r="C57" s="36" t="n">
        <f aca="false">IF($A57="","",SUMIFS('Time Log'!$D$6:$D$705,'Time Log'!$B$6:$B$705,$A57,'Time Log'!$A$6:$A$705,"&gt;="&amp;C$5,'Time Log'!$A$6:$A$705,"&lt;="&amp;EOMONTH(C$5,0)))</f>
        <v>26.25</v>
      </c>
      <c r="D57" s="36" t="n">
        <f aca="false">IF($A57="","",SUMIFS('Time Log'!$D$6:$D$705,'Time Log'!$B$6:$B$705,$A57,'Time Log'!$A$6:$A$705,"&gt;="&amp;D$5,'Time Log'!$A$6:$A$705,"&lt;="&amp;EOMONTH(D$5,0)))</f>
        <v>26.25</v>
      </c>
      <c r="E57" s="36" t="n">
        <f aca="false">IF($A57="","",SUMIFS('Time Log'!$D$6:$D$705,'Time Log'!$B$6:$B$705,$A57,'Time Log'!$A$6:$A$705,"&gt;="&amp;E$5,'Time Log'!$A$6:$A$705,"&lt;="&amp;EOMONTH(E$5,0)))</f>
        <v>27.5</v>
      </c>
      <c r="F57" s="36" t="n">
        <f aca="false">IF($A57="","",SUMIFS('Time Log'!$D$6:$D$705,'Time Log'!$B$6:$B$705,$A57,'Time Log'!$A$6:$A$705,"&gt;="&amp;F$5,'Time Log'!$A$6:$A$705,"&lt;="&amp;EOMONTH(F$5,0)))</f>
        <v>30.25</v>
      </c>
      <c r="G57" s="36" t="n">
        <f aca="false">IF($A57="","",SUMIFS('Time Log'!$D$6:$D$705,'Time Log'!$B$6:$B$705,$A57,'Time Log'!$A$6:$A$705,"&gt;="&amp;G$5,'Time Log'!$A$6:$A$705,"&lt;="&amp;EOMONTH(G$5,0)))</f>
        <v>24.5</v>
      </c>
      <c r="H57" s="36" t="n">
        <f aca="false">IF($A57="","",SUMIFS('Time Log'!$D$6:$D$705,'Time Log'!$B$6:$B$705,$A57,'Time Log'!$A$6:$A$705,"&gt;="&amp;H$5,'Time Log'!$A$6:$A$705,"&lt;="&amp;EOMONTH(H$5,0)))</f>
        <v>29.25</v>
      </c>
      <c r="I57" s="36" t="n">
        <f aca="false">IF($A57="","",SUMIFS('Time Log'!$D$6:$D$705,'Time Log'!$B$6:$B$705,$A57,'Time Log'!$A$6:$A$705,"&gt;="&amp;I$5,'Time Log'!$A$6:$A$705,"&lt;="&amp;EOMONTH(I$5,0)))</f>
        <v>23</v>
      </c>
      <c r="J57" s="36" t="n">
        <f aca="false">IF($A57="","",SUMIFS('Time Log'!$D$6:$D$705,'Time Log'!$B$6:$B$705,$A57,'Time Log'!$A$6:$A$705,"&gt;="&amp;J$5,'Time Log'!$A$6:$A$705,"&lt;="&amp;EOMONTH(J$5,0)))</f>
        <v>23.25</v>
      </c>
      <c r="K57" s="36" t="n">
        <f aca="false">IF($A57="","",SUMIFS('Time Log'!$D$6:$D$705,'Time Log'!$B$6:$B$705,$A57,'Time Log'!$A$6:$A$705,"&gt;="&amp;K$5,'Time Log'!$A$6:$A$705,"&lt;="&amp;EOMONTH(K$5,0)))</f>
        <v>11.75</v>
      </c>
      <c r="L57" s="36" t="n">
        <f aca="false">IF($A57="","",SUMIFS('Time Log'!$D$6:$D$705,'Time Log'!$B$6:$B$705,$A57,'Time Log'!$A$6:$A$705,"&gt;="&amp;L$5,'Time Log'!$A$6:$A$705,"&lt;="&amp;EOMONTH(L$5,0)))</f>
        <v>0</v>
      </c>
      <c r="M57" s="36" t="n">
        <f aca="false">IF($A57="","",SUMIFS('Time Log'!$D$6:$D$705,'Time Log'!$B$6:$B$705,$A57,'Time Log'!$A$6:$A$705,"&gt;="&amp;M$5,'Time Log'!$A$6:$A$705,"&lt;="&amp;EOMONTH(M$5,0)))</f>
        <v>0</v>
      </c>
      <c r="N57" s="88" t="n">
        <f aca="false">IF($A57="","",SUM(B57:M57))</f>
        <v>250.25</v>
      </c>
    </row>
    <row r="58" customFormat="false" ht="15" hidden="false" customHeight="false" outlineLevel="0" collapsed="false">
      <c r="A58" s="78" t="str">
        <f aca="false">A8</f>
        <v>Northstar Pet Resort</v>
      </c>
      <c r="B58" s="36" t="n">
        <f aca="false">IF($A58="","",SUMIFS('Time Log'!$D$6:$D$705,'Time Log'!$B$6:$B$705,$A58,'Time Log'!$A$6:$A$705,"&gt;="&amp;B$5,'Time Log'!$A$6:$A$705,"&lt;="&amp;EOMONTH(B$5,0)))</f>
        <v>27</v>
      </c>
      <c r="C58" s="36" t="n">
        <f aca="false">IF($A58="","",SUMIFS('Time Log'!$D$6:$D$705,'Time Log'!$B$6:$B$705,$A58,'Time Log'!$A$6:$A$705,"&gt;="&amp;C$5,'Time Log'!$A$6:$A$705,"&lt;="&amp;EOMONTH(C$5,0)))</f>
        <v>22</v>
      </c>
      <c r="D58" s="36" t="n">
        <f aca="false">IF($A58="","",SUMIFS('Time Log'!$D$6:$D$705,'Time Log'!$B$6:$B$705,$A58,'Time Log'!$A$6:$A$705,"&gt;="&amp;D$5,'Time Log'!$A$6:$A$705,"&lt;="&amp;EOMONTH(D$5,0)))</f>
        <v>22</v>
      </c>
      <c r="E58" s="36" t="n">
        <f aca="false">IF($A58="","",SUMIFS('Time Log'!$D$6:$D$705,'Time Log'!$B$6:$B$705,$A58,'Time Log'!$A$6:$A$705,"&gt;="&amp;E$5,'Time Log'!$A$6:$A$705,"&lt;="&amp;EOMONTH(E$5,0)))</f>
        <v>21.5</v>
      </c>
      <c r="F58" s="36" t="n">
        <f aca="false">IF($A58="","",SUMIFS('Time Log'!$D$6:$D$705,'Time Log'!$B$6:$B$705,$A58,'Time Log'!$A$6:$A$705,"&gt;="&amp;F$5,'Time Log'!$A$6:$A$705,"&lt;="&amp;EOMONTH(F$5,0)))</f>
        <v>26.5</v>
      </c>
      <c r="G58" s="36" t="n">
        <f aca="false">IF($A58="","",SUMIFS('Time Log'!$D$6:$D$705,'Time Log'!$B$6:$B$705,$A58,'Time Log'!$A$6:$A$705,"&gt;="&amp;G$5,'Time Log'!$A$6:$A$705,"&lt;="&amp;EOMONTH(G$5,0)))</f>
        <v>16.25</v>
      </c>
      <c r="H58" s="36" t="n">
        <f aca="false">IF($A58="","",SUMIFS('Time Log'!$D$6:$D$705,'Time Log'!$B$6:$B$705,$A58,'Time Log'!$A$6:$A$705,"&gt;="&amp;H$5,'Time Log'!$A$6:$A$705,"&lt;="&amp;EOMONTH(H$5,0)))</f>
        <v>25.5</v>
      </c>
      <c r="I58" s="36" t="n">
        <f aca="false">IF($A58="","",SUMIFS('Time Log'!$D$6:$D$705,'Time Log'!$B$6:$B$705,$A58,'Time Log'!$A$6:$A$705,"&gt;="&amp;I$5,'Time Log'!$A$6:$A$705,"&lt;="&amp;EOMONTH(I$5,0)))</f>
        <v>20.25</v>
      </c>
      <c r="J58" s="36" t="n">
        <f aca="false">IF($A58="","",SUMIFS('Time Log'!$D$6:$D$705,'Time Log'!$B$6:$B$705,$A58,'Time Log'!$A$6:$A$705,"&gt;="&amp;J$5,'Time Log'!$A$6:$A$705,"&lt;="&amp;EOMONTH(J$5,0)))</f>
        <v>19</v>
      </c>
      <c r="K58" s="36" t="n">
        <f aca="false">IF($A58="","",SUMIFS('Time Log'!$D$6:$D$705,'Time Log'!$B$6:$B$705,$A58,'Time Log'!$A$6:$A$705,"&gt;="&amp;K$5,'Time Log'!$A$6:$A$705,"&lt;="&amp;EOMONTH(K$5,0)))</f>
        <v>7.75</v>
      </c>
      <c r="L58" s="36" t="n">
        <f aca="false">IF($A58="","",SUMIFS('Time Log'!$D$6:$D$705,'Time Log'!$B$6:$B$705,$A58,'Time Log'!$A$6:$A$705,"&gt;="&amp;L$5,'Time Log'!$A$6:$A$705,"&lt;="&amp;EOMONTH(L$5,0)))</f>
        <v>0</v>
      </c>
      <c r="M58" s="36" t="n">
        <f aca="false">IF($A58="","",SUMIFS('Time Log'!$D$6:$D$705,'Time Log'!$B$6:$B$705,$A58,'Time Log'!$A$6:$A$705,"&gt;="&amp;M$5,'Time Log'!$A$6:$A$705,"&lt;="&amp;EOMONTH(M$5,0)))</f>
        <v>0</v>
      </c>
      <c r="N58" s="88" t="n">
        <f aca="false">IF($A58="","",SUM(B58:M58))</f>
        <v>207.75</v>
      </c>
    </row>
    <row r="59" customFormat="false" ht="15" hidden="false" customHeight="false" outlineLevel="0" collapsed="false">
      <c r="A59" s="78" t="str">
        <f aca="false">A9</f>
        <v>Maple Lane Realty</v>
      </c>
      <c r="B59" s="36" t="n">
        <f aca="false">IF($A59="","",SUMIFS('Time Log'!$D$6:$D$705,'Time Log'!$B$6:$B$705,$A59,'Time Log'!$A$6:$A$705,"&gt;="&amp;B$5,'Time Log'!$A$6:$A$705,"&lt;="&amp;EOMONTH(B$5,0)))</f>
        <v>0</v>
      </c>
      <c r="C59" s="36" t="n">
        <f aca="false">IF($A59="","",SUMIFS('Time Log'!$D$6:$D$705,'Time Log'!$B$6:$B$705,$A59,'Time Log'!$A$6:$A$705,"&gt;="&amp;C$5,'Time Log'!$A$6:$A$705,"&lt;="&amp;EOMONTH(C$5,0)))</f>
        <v>11.5</v>
      </c>
      <c r="D59" s="36" t="n">
        <f aca="false">IF($A59="","",SUMIFS('Time Log'!$D$6:$D$705,'Time Log'!$B$6:$B$705,$A59,'Time Log'!$A$6:$A$705,"&gt;="&amp;D$5,'Time Log'!$A$6:$A$705,"&lt;="&amp;EOMONTH(D$5,0)))</f>
        <v>16</v>
      </c>
      <c r="E59" s="36" t="n">
        <f aca="false">IF($A59="","",SUMIFS('Time Log'!$D$6:$D$705,'Time Log'!$B$6:$B$705,$A59,'Time Log'!$A$6:$A$705,"&gt;="&amp;E$5,'Time Log'!$A$6:$A$705,"&lt;="&amp;EOMONTH(E$5,0)))</f>
        <v>14.75</v>
      </c>
      <c r="F59" s="36" t="n">
        <f aca="false">IF($A59="","",SUMIFS('Time Log'!$D$6:$D$705,'Time Log'!$B$6:$B$705,$A59,'Time Log'!$A$6:$A$705,"&gt;="&amp;F$5,'Time Log'!$A$6:$A$705,"&lt;="&amp;EOMONTH(F$5,0)))</f>
        <v>21.75</v>
      </c>
      <c r="G59" s="36" t="n">
        <f aca="false">IF($A59="","",SUMIFS('Time Log'!$D$6:$D$705,'Time Log'!$B$6:$B$705,$A59,'Time Log'!$A$6:$A$705,"&gt;="&amp;G$5,'Time Log'!$A$6:$A$705,"&lt;="&amp;EOMONTH(G$5,0)))</f>
        <v>17.75</v>
      </c>
      <c r="H59" s="36" t="n">
        <f aca="false">IF($A59="","",SUMIFS('Time Log'!$D$6:$D$705,'Time Log'!$B$6:$B$705,$A59,'Time Log'!$A$6:$A$705,"&gt;="&amp;H$5,'Time Log'!$A$6:$A$705,"&lt;="&amp;EOMONTH(H$5,0)))</f>
        <v>16.25</v>
      </c>
      <c r="I59" s="36" t="n">
        <f aca="false">IF($A59="","",SUMIFS('Time Log'!$D$6:$D$705,'Time Log'!$B$6:$B$705,$A59,'Time Log'!$A$6:$A$705,"&gt;="&amp;I$5,'Time Log'!$A$6:$A$705,"&lt;="&amp;EOMONTH(I$5,0)))</f>
        <v>14</v>
      </c>
      <c r="J59" s="36" t="n">
        <f aca="false">IF($A59="","",SUMIFS('Time Log'!$D$6:$D$705,'Time Log'!$B$6:$B$705,$A59,'Time Log'!$A$6:$A$705,"&gt;="&amp;J$5,'Time Log'!$A$6:$A$705,"&lt;="&amp;EOMONTH(J$5,0)))</f>
        <v>12</v>
      </c>
      <c r="K59" s="36" t="n">
        <f aca="false">IF($A59="","",SUMIFS('Time Log'!$D$6:$D$705,'Time Log'!$B$6:$B$705,$A59,'Time Log'!$A$6:$A$705,"&gt;="&amp;K$5,'Time Log'!$A$6:$A$705,"&lt;="&amp;EOMONTH(K$5,0)))</f>
        <v>8.75</v>
      </c>
      <c r="L59" s="36" t="n">
        <f aca="false">IF($A59="","",SUMIFS('Time Log'!$D$6:$D$705,'Time Log'!$B$6:$B$705,$A59,'Time Log'!$A$6:$A$705,"&gt;="&amp;L$5,'Time Log'!$A$6:$A$705,"&lt;="&amp;EOMONTH(L$5,0)))</f>
        <v>0</v>
      </c>
      <c r="M59" s="36" t="n">
        <f aca="false">IF($A59="","",SUMIFS('Time Log'!$D$6:$D$705,'Time Log'!$B$6:$B$705,$A59,'Time Log'!$A$6:$A$705,"&gt;="&amp;M$5,'Time Log'!$A$6:$A$705,"&lt;="&amp;EOMONTH(M$5,0)))</f>
        <v>0</v>
      </c>
      <c r="N59" s="88" t="n">
        <f aca="false">IF($A59="","",SUM(B59:M59))</f>
        <v>132.75</v>
      </c>
    </row>
    <row r="60" customFormat="false" ht="15" hidden="false" customHeight="false" outlineLevel="0" collapsed="false">
      <c r="A60" s="78" t="str">
        <f aca="false">A10</f>
        <v>Bramble Family Dental</v>
      </c>
      <c r="B60" s="36" t="n">
        <f aca="false">IF($A60="","",SUMIFS('Time Log'!$D$6:$D$705,'Time Log'!$B$6:$B$705,$A60,'Time Log'!$A$6:$A$705,"&gt;="&amp;B$5,'Time Log'!$A$6:$A$705,"&lt;="&amp;EOMONTH(B$5,0)))</f>
        <v>18.75</v>
      </c>
      <c r="C60" s="36" t="n">
        <f aca="false">IF($A60="","",SUMIFS('Time Log'!$D$6:$D$705,'Time Log'!$B$6:$B$705,$A60,'Time Log'!$A$6:$A$705,"&gt;="&amp;C$5,'Time Log'!$A$6:$A$705,"&lt;="&amp;EOMONTH(C$5,0)))</f>
        <v>14.75</v>
      </c>
      <c r="D60" s="36" t="n">
        <f aca="false">IF($A60="","",SUMIFS('Time Log'!$D$6:$D$705,'Time Log'!$B$6:$B$705,$A60,'Time Log'!$A$6:$A$705,"&gt;="&amp;D$5,'Time Log'!$A$6:$A$705,"&lt;="&amp;EOMONTH(D$5,0)))</f>
        <v>18.25</v>
      </c>
      <c r="E60" s="36" t="n">
        <f aca="false">IF($A60="","",SUMIFS('Time Log'!$D$6:$D$705,'Time Log'!$B$6:$B$705,$A60,'Time Log'!$A$6:$A$705,"&gt;="&amp;E$5,'Time Log'!$A$6:$A$705,"&lt;="&amp;EOMONTH(E$5,0)))</f>
        <v>14.25</v>
      </c>
      <c r="F60" s="36" t="n">
        <f aca="false">IF($A60="","",SUMIFS('Time Log'!$D$6:$D$705,'Time Log'!$B$6:$B$705,$A60,'Time Log'!$A$6:$A$705,"&gt;="&amp;F$5,'Time Log'!$A$6:$A$705,"&lt;="&amp;EOMONTH(F$5,0)))</f>
        <v>16</v>
      </c>
      <c r="G60" s="36" t="n">
        <f aca="false">IF($A60="","",SUMIFS('Time Log'!$D$6:$D$705,'Time Log'!$B$6:$B$705,$A60,'Time Log'!$A$6:$A$705,"&gt;="&amp;G$5,'Time Log'!$A$6:$A$705,"&lt;="&amp;EOMONTH(G$5,0)))</f>
        <v>14.25</v>
      </c>
      <c r="H60" s="36" t="n">
        <f aca="false">IF($A60="","",SUMIFS('Time Log'!$D$6:$D$705,'Time Log'!$B$6:$B$705,$A60,'Time Log'!$A$6:$A$705,"&gt;="&amp;H$5,'Time Log'!$A$6:$A$705,"&lt;="&amp;EOMONTH(H$5,0)))</f>
        <v>21.5</v>
      </c>
      <c r="I60" s="36" t="n">
        <f aca="false">IF($A60="","",SUMIFS('Time Log'!$D$6:$D$705,'Time Log'!$B$6:$B$705,$A60,'Time Log'!$A$6:$A$705,"&gt;="&amp;I$5,'Time Log'!$A$6:$A$705,"&lt;="&amp;EOMONTH(I$5,0)))</f>
        <v>13.75</v>
      </c>
      <c r="J60" s="36" t="n">
        <f aca="false">IF($A60="","",SUMIFS('Time Log'!$D$6:$D$705,'Time Log'!$B$6:$B$705,$A60,'Time Log'!$A$6:$A$705,"&gt;="&amp;J$5,'Time Log'!$A$6:$A$705,"&lt;="&amp;EOMONTH(J$5,0)))</f>
        <v>16.25</v>
      </c>
      <c r="K60" s="36" t="n">
        <f aca="false">IF($A60="","",SUMIFS('Time Log'!$D$6:$D$705,'Time Log'!$B$6:$B$705,$A60,'Time Log'!$A$6:$A$705,"&gt;="&amp;K$5,'Time Log'!$A$6:$A$705,"&lt;="&amp;EOMONTH(K$5,0)))</f>
        <v>7.5</v>
      </c>
      <c r="L60" s="36" t="n">
        <f aca="false">IF($A60="","",SUMIFS('Time Log'!$D$6:$D$705,'Time Log'!$B$6:$B$705,$A60,'Time Log'!$A$6:$A$705,"&gt;="&amp;L$5,'Time Log'!$A$6:$A$705,"&lt;="&amp;EOMONTH(L$5,0)))</f>
        <v>0</v>
      </c>
      <c r="M60" s="36" t="n">
        <f aca="false">IF($A60="","",SUMIFS('Time Log'!$D$6:$D$705,'Time Log'!$B$6:$B$705,$A60,'Time Log'!$A$6:$A$705,"&gt;="&amp;M$5,'Time Log'!$A$6:$A$705,"&lt;="&amp;EOMONTH(M$5,0)))</f>
        <v>0</v>
      </c>
      <c r="N60" s="88" t="n">
        <f aca="false">IF($A60="","",SUM(B60:M60))</f>
        <v>155.25</v>
      </c>
    </row>
    <row r="61" customFormat="false" ht="15" hidden="false" customHeight="false" outlineLevel="0" collapsed="false">
      <c r="A61" s="78" t="str">
        <f aca="false">A11</f>
        <v>Second Cup Cafe</v>
      </c>
      <c r="B61" s="36" t="n">
        <f aca="false">IF($A61="","",SUMIFS('Time Log'!$D$6:$D$705,'Time Log'!$B$6:$B$705,$A61,'Time Log'!$A$6:$A$705,"&gt;="&amp;B$5,'Time Log'!$A$6:$A$705,"&lt;="&amp;EOMONTH(B$5,0)))</f>
        <v>11</v>
      </c>
      <c r="C61" s="36" t="n">
        <f aca="false">IF($A61="","",SUMIFS('Time Log'!$D$6:$D$705,'Time Log'!$B$6:$B$705,$A61,'Time Log'!$A$6:$A$705,"&gt;="&amp;C$5,'Time Log'!$A$6:$A$705,"&lt;="&amp;EOMONTH(C$5,0)))</f>
        <v>8.25</v>
      </c>
      <c r="D61" s="36" t="n">
        <f aca="false">IF($A61="","",SUMIFS('Time Log'!$D$6:$D$705,'Time Log'!$B$6:$B$705,$A61,'Time Log'!$A$6:$A$705,"&gt;="&amp;D$5,'Time Log'!$A$6:$A$705,"&lt;="&amp;EOMONTH(D$5,0)))</f>
        <v>9.75</v>
      </c>
      <c r="E61" s="36" t="n">
        <f aca="false">IF($A61="","",SUMIFS('Time Log'!$D$6:$D$705,'Time Log'!$B$6:$B$705,$A61,'Time Log'!$A$6:$A$705,"&gt;="&amp;E$5,'Time Log'!$A$6:$A$705,"&lt;="&amp;EOMONTH(E$5,0)))</f>
        <v>9</v>
      </c>
      <c r="F61" s="36" t="n">
        <f aca="false">IF($A61="","",SUMIFS('Time Log'!$D$6:$D$705,'Time Log'!$B$6:$B$705,$A61,'Time Log'!$A$6:$A$705,"&gt;="&amp;F$5,'Time Log'!$A$6:$A$705,"&lt;="&amp;EOMONTH(F$5,0)))</f>
        <v>8.5</v>
      </c>
      <c r="G61" s="36" t="n">
        <f aca="false">IF($A61="","",SUMIFS('Time Log'!$D$6:$D$705,'Time Log'!$B$6:$B$705,$A61,'Time Log'!$A$6:$A$705,"&gt;="&amp;G$5,'Time Log'!$A$6:$A$705,"&lt;="&amp;EOMONTH(G$5,0)))</f>
        <v>7.75</v>
      </c>
      <c r="H61" s="36" t="n">
        <f aca="false">IF($A61="","",SUMIFS('Time Log'!$D$6:$D$705,'Time Log'!$B$6:$B$705,$A61,'Time Log'!$A$6:$A$705,"&gt;="&amp;H$5,'Time Log'!$A$6:$A$705,"&lt;="&amp;EOMONTH(H$5,0)))</f>
        <v>10</v>
      </c>
      <c r="I61" s="36" t="n">
        <f aca="false">IF($A61="","",SUMIFS('Time Log'!$D$6:$D$705,'Time Log'!$B$6:$B$705,$A61,'Time Log'!$A$6:$A$705,"&gt;="&amp;I$5,'Time Log'!$A$6:$A$705,"&lt;="&amp;EOMONTH(I$5,0)))</f>
        <v>8</v>
      </c>
      <c r="J61" s="36" t="n">
        <f aca="false">IF($A61="","",SUMIFS('Time Log'!$D$6:$D$705,'Time Log'!$B$6:$B$705,$A61,'Time Log'!$A$6:$A$705,"&gt;="&amp;J$5,'Time Log'!$A$6:$A$705,"&lt;="&amp;EOMONTH(J$5,0)))</f>
        <v>6</v>
      </c>
      <c r="K61" s="36" t="n">
        <f aca="false">IF($A61="","",SUMIFS('Time Log'!$D$6:$D$705,'Time Log'!$B$6:$B$705,$A61,'Time Log'!$A$6:$A$705,"&gt;="&amp;K$5,'Time Log'!$A$6:$A$705,"&lt;="&amp;EOMONTH(K$5,0)))</f>
        <v>3.75</v>
      </c>
      <c r="L61" s="36" t="n">
        <f aca="false">IF($A61="","",SUMIFS('Time Log'!$D$6:$D$705,'Time Log'!$B$6:$B$705,$A61,'Time Log'!$A$6:$A$705,"&gt;="&amp;L$5,'Time Log'!$A$6:$A$705,"&lt;="&amp;EOMONTH(L$5,0)))</f>
        <v>0</v>
      </c>
      <c r="M61" s="36" t="n">
        <f aca="false">IF($A61="","",SUMIFS('Time Log'!$D$6:$D$705,'Time Log'!$B$6:$B$705,$A61,'Time Log'!$A$6:$A$705,"&gt;="&amp;M$5,'Time Log'!$A$6:$A$705,"&lt;="&amp;EOMONTH(M$5,0)))</f>
        <v>0</v>
      </c>
      <c r="N61" s="88" t="n">
        <f aca="false">IF($A61="","",SUM(B61:M61))</f>
        <v>82</v>
      </c>
    </row>
    <row r="62" customFormat="false" ht="15" hidden="false" customHeight="false" outlineLevel="0" collapsed="false">
      <c r="A62" s="78" t="str">
        <f aca="false">A12</f>
        <v>Ironclad Fitness</v>
      </c>
      <c r="B62" s="36" t="n">
        <f aca="false">IF($A62="","",SUMIFS('Time Log'!$D$6:$D$705,'Time Log'!$B$6:$B$705,$A62,'Time Log'!$A$6:$A$705,"&gt;="&amp;B$5,'Time Log'!$A$6:$A$705,"&lt;="&amp;EOMONTH(B$5,0)))</f>
        <v>0</v>
      </c>
      <c r="C62" s="36" t="n">
        <f aca="false">IF($A62="","",SUMIFS('Time Log'!$D$6:$D$705,'Time Log'!$B$6:$B$705,$A62,'Time Log'!$A$6:$A$705,"&gt;="&amp;C$5,'Time Log'!$A$6:$A$705,"&lt;="&amp;EOMONTH(C$5,0)))</f>
        <v>0</v>
      </c>
      <c r="D62" s="36" t="n">
        <f aca="false">IF($A62="","",SUMIFS('Time Log'!$D$6:$D$705,'Time Log'!$B$6:$B$705,$A62,'Time Log'!$A$6:$A$705,"&gt;="&amp;D$5,'Time Log'!$A$6:$A$705,"&lt;="&amp;EOMONTH(D$5,0)))</f>
        <v>31.25</v>
      </c>
      <c r="E62" s="36" t="n">
        <f aca="false">IF($A62="","",SUMIFS('Time Log'!$D$6:$D$705,'Time Log'!$B$6:$B$705,$A62,'Time Log'!$A$6:$A$705,"&gt;="&amp;E$5,'Time Log'!$A$6:$A$705,"&lt;="&amp;EOMONTH(E$5,0)))</f>
        <v>20.5</v>
      </c>
      <c r="F62" s="36" t="n">
        <f aca="false">IF($A62="","",SUMIFS('Time Log'!$D$6:$D$705,'Time Log'!$B$6:$B$705,$A62,'Time Log'!$A$6:$A$705,"&gt;="&amp;F$5,'Time Log'!$A$6:$A$705,"&lt;="&amp;EOMONTH(F$5,0)))</f>
        <v>35.5</v>
      </c>
      <c r="G62" s="36" t="n">
        <f aca="false">IF($A62="","",SUMIFS('Time Log'!$D$6:$D$705,'Time Log'!$B$6:$B$705,$A62,'Time Log'!$A$6:$A$705,"&gt;="&amp;G$5,'Time Log'!$A$6:$A$705,"&lt;="&amp;EOMONTH(G$5,0)))</f>
        <v>0</v>
      </c>
      <c r="H62" s="36" t="n">
        <f aca="false">IF($A62="","",SUMIFS('Time Log'!$D$6:$D$705,'Time Log'!$B$6:$B$705,$A62,'Time Log'!$A$6:$A$705,"&gt;="&amp;H$5,'Time Log'!$A$6:$A$705,"&lt;="&amp;EOMONTH(H$5,0)))</f>
        <v>0</v>
      </c>
      <c r="I62" s="36" t="n">
        <f aca="false">IF($A62="","",SUMIFS('Time Log'!$D$6:$D$705,'Time Log'!$B$6:$B$705,$A62,'Time Log'!$A$6:$A$705,"&gt;="&amp;I$5,'Time Log'!$A$6:$A$705,"&lt;="&amp;EOMONTH(I$5,0)))</f>
        <v>0</v>
      </c>
      <c r="J62" s="36" t="n">
        <f aca="false">IF($A62="","",SUMIFS('Time Log'!$D$6:$D$705,'Time Log'!$B$6:$B$705,$A62,'Time Log'!$A$6:$A$705,"&gt;="&amp;J$5,'Time Log'!$A$6:$A$705,"&lt;="&amp;EOMONTH(J$5,0)))</f>
        <v>0</v>
      </c>
      <c r="K62" s="36" t="n">
        <f aca="false">IF($A62="","",SUMIFS('Time Log'!$D$6:$D$705,'Time Log'!$B$6:$B$705,$A62,'Time Log'!$A$6:$A$705,"&gt;="&amp;K$5,'Time Log'!$A$6:$A$705,"&lt;="&amp;EOMONTH(K$5,0)))</f>
        <v>0</v>
      </c>
      <c r="L62" s="36" t="n">
        <f aca="false">IF($A62="","",SUMIFS('Time Log'!$D$6:$D$705,'Time Log'!$B$6:$B$705,$A62,'Time Log'!$A$6:$A$705,"&gt;="&amp;L$5,'Time Log'!$A$6:$A$705,"&lt;="&amp;EOMONTH(L$5,0)))</f>
        <v>0</v>
      </c>
      <c r="M62" s="36" t="n">
        <f aca="false">IF($A62="","",SUMIFS('Time Log'!$D$6:$D$705,'Time Log'!$B$6:$B$705,$A62,'Time Log'!$A$6:$A$705,"&gt;="&amp;M$5,'Time Log'!$A$6:$A$705,"&lt;="&amp;EOMONTH(M$5,0)))</f>
        <v>0</v>
      </c>
      <c r="N62" s="88" t="n">
        <f aca="false">IF($A62="","",SUM(B62:M62))</f>
        <v>87.25</v>
      </c>
    </row>
    <row r="63" customFormat="false" ht="15" hidden="false" customHeight="false" outlineLevel="0" collapsed="false">
      <c r="A63" s="78" t="str">
        <f aca="false">A13</f>
        <v>Lakeside Law Group</v>
      </c>
      <c r="B63" s="36" t="n">
        <f aca="false">IF($A63="","",SUMIFS('Time Log'!$D$6:$D$705,'Time Log'!$B$6:$B$705,$A63,'Time Log'!$A$6:$A$705,"&gt;="&amp;B$5,'Time Log'!$A$6:$A$705,"&lt;="&amp;EOMONTH(B$5,0)))</f>
        <v>0</v>
      </c>
      <c r="C63" s="36" t="n">
        <f aca="false">IF($A63="","",SUMIFS('Time Log'!$D$6:$D$705,'Time Log'!$B$6:$B$705,$A63,'Time Log'!$A$6:$A$705,"&gt;="&amp;C$5,'Time Log'!$A$6:$A$705,"&lt;="&amp;EOMONTH(C$5,0)))</f>
        <v>0</v>
      </c>
      <c r="D63" s="36" t="n">
        <f aca="false">IF($A63="","",SUMIFS('Time Log'!$D$6:$D$705,'Time Log'!$B$6:$B$705,$A63,'Time Log'!$A$6:$A$705,"&gt;="&amp;D$5,'Time Log'!$A$6:$A$705,"&lt;="&amp;EOMONTH(D$5,0)))</f>
        <v>0</v>
      </c>
      <c r="E63" s="36" t="n">
        <f aca="false">IF($A63="","",SUMIFS('Time Log'!$D$6:$D$705,'Time Log'!$B$6:$B$705,$A63,'Time Log'!$A$6:$A$705,"&gt;="&amp;E$5,'Time Log'!$A$6:$A$705,"&lt;="&amp;EOMONTH(E$5,0)))</f>
        <v>0</v>
      </c>
      <c r="F63" s="36" t="n">
        <f aca="false">IF($A63="","",SUMIFS('Time Log'!$D$6:$D$705,'Time Log'!$B$6:$B$705,$A63,'Time Log'!$A$6:$A$705,"&gt;="&amp;F$5,'Time Log'!$A$6:$A$705,"&lt;="&amp;EOMONTH(F$5,0)))</f>
        <v>0</v>
      </c>
      <c r="G63" s="36" t="n">
        <f aca="false">IF($A63="","",SUMIFS('Time Log'!$D$6:$D$705,'Time Log'!$B$6:$B$705,$A63,'Time Log'!$A$6:$A$705,"&gt;="&amp;G$5,'Time Log'!$A$6:$A$705,"&lt;="&amp;EOMONTH(G$5,0)))</f>
        <v>11.5</v>
      </c>
      <c r="H63" s="36" t="n">
        <f aca="false">IF($A63="","",SUMIFS('Time Log'!$D$6:$D$705,'Time Log'!$B$6:$B$705,$A63,'Time Log'!$A$6:$A$705,"&gt;="&amp;H$5,'Time Log'!$A$6:$A$705,"&lt;="&amp;EOMONTH(H$5,0)))</f>
        <v>15.5</v>
      </c>
      <c r="I63" s="36" t="n">
        <f aca="false">IF($A63="","",SUMIFS('Time Log'!$D$6:$D$705,'Time Log'!$B$6:$B$705,$A63,'Time Log'!$A$6:$A$705,"&gt;="&amp;I$5,'Time Log'!$A$6:$A$705,"&lt;="&amp;EOMONTH(I$5,0)))</f>
        <v>11</v>
      </c>
      <c r="J63" s="36" t="n">
        <f aca="false">IF($A63="","",SUMIFS('Time Log'!$D$6:$D$705,'Time Log'!$B$6:$B$705,$A63,'Time Log'!$A$6:$A$705,"&gt;="&amp;J$5,'Time Log'!$A$6:$A$705,"&lt;="&amp;EOMONTH(J$5,0)))</f>
        <v>12</v>
      </c>
      <c r="K63" s="36" t="n">
        <f aca="false">IF($A63="","",SUMIFS('Time Log'!$D$6:$D$705,'Time Log'!$B$6:$B$705,$A63,'Time Log'!$A$6:$A$705,"&gt;="&amp;K$5,'Time Log'!$A$6:$A$705,"&lt;="&amp;EOMONTH(K$5,0)))</f>
        <v>5.25</v>
      </c>
      <c r="L63" s="36" t="n">
        <f aca="false">IF($A63="","",SUMIFS('Time Log'!$D$6:$D$705,'Time Log'!$B$6:$B$705,$A63,'Time Log'!$A$6:$A$705,"&gt;="&amp;L$5,'Time Log'!$A$6:$A$705,"&lt;="&amp;EOMONTH(L$5,0)))</f>
        <v>0</v>
      </c>
      <c r="M63" s="36" t="n">
        <f aca="false">IF($A63="","",SUMIFS('Time Log'!$D$6:$D$705,'Time Log'!$B$6:$B$705,$A63,'Time Log'!$A$6:$A$705,"&gt;="&amp;M$5,'Time Log'!$A$6:$A$705,"&lt;="&amp;EOMONTH(M$5,0)))</f>
        <v>0</v>
      </c>
      <c r="N63" s="88" t="n">
        <f aca="false">IF($A63="","",SUM(B63:M63))</f>
        <v>55.25</v>
      </c>
    </row>
    <row r="64" customFormat="false" ht="15" hidden="false" customHeight="false" outlineLevel="0" collapsed="false">
      <c r="A64" s="78" t="str">
        <f aca="false">A14</f>
        <v>Pickle Barrel Deli</v>
      </c>
      <c r="B64" s="36" t="n">
        <f aca="false">IF($A64="","",SUMIFS('Time Log'!$D$6:$D$705,'Time Log'!$B$6:$B$705,$A64,'Time Log'!$A$6:$A$705,"&gt;="&amp;B$5,'Time Log'!$A$6:$A$705,"&lt;="&amp;EOMONTH(B$5,0)))</f>
        <v>0</v>
      </c>
      <c r="C64" s="36" t="n">
        <f aca="false">IF($A64="","",SUMIFS('Time Log'!$D$6:$D$705,'Time Log'!$B$6:$B$705,$A64,'Time Log'!$A$6:$A$705,"&gt;="&amp;C$5,'Time Log'!$A$6:$A$705,"&lt;="&amp;EOMONTH(C$5,0)))</f>
        <v>0</v>
      </c>
      <c r="D64" s="36" t="n">
        <f aca="false">IF($A64="","",SUMIFS('Time Log'!$D$6:$D$705,'Time Log'!$B$6:$B$705,$A64,'Time Log'!$A$6:$A$705,"&gt;="&amp;D$5,'Time Log'!$A$6:$A$705,"&lt;="&amp;EOMONTH(D$5,0)))</f>
        <v>0</v>
      </c>
      <c r="E64" s="36" t="n">
        <f aca="false">IF($A64="","",SUMIFS('Time Log'!$D$6:$D$705,'Time Log'!$B$6:$B$705,$A64,'Time Log'!$A$6:$A$705,"&gt;="&amp;E$5,'Time Log'!$A$6:$A$705,"&lt;="&amp;EOMONTH(E$5,0)))</f>
        <v>0</v>
      </c>
      <c r="F64" s="36" t="n">
        <f aca="false">IF($A64="","",SUMIFS('Time Log'!$D$6:$D$705,'Time Log'!$B$6:$B$705,$A64,'Time Log'!$A$6:$A$705,"&gt;="&amp;F$5,'Time Log'!$A$6:$A$705,"&lt;="&amp;EOMONTH(F$5,0)))</f>
        <v>0</v>
      </c>
      <c r="G64" s="36" t="n">
        <f aca="false">IF($A64="","",SUMIFS('Time Log'!$D$6:$D$705,'Time Log'!$B$6:$B$705,$A64,'Time Log'!$A$6:$A$705,"&gt;="&amp;G$5,'Time Log'!$A$6:$A$705,"&lt;="&amp;EOMONTH(G$5,0)))</f>
        <v>0</v>
      </c>
      <c r="H64" s="36" t="n">
        <f aca="false">IF($A64="","",SUMIFS('Time Log'!$D$6:$D$705,'Time Log'!$B$6:$B$705,$A64,'Time Log'!$A$6:$A$705,"&gt;="&amp;H$5,'Time Log'!$A$6:$A$705,"&lt;="&amp;EOMONTH(H$5,0)))</f>
        <v>0</v>
      </c>
      <c r="I64" s="36" t="n">
        <f aca="false">IF($A64="","",SUMIFS('Time Log'!$D$6:$D$705,'Time Log'!$B$6:$B$705,$A64,'Time Log'!$A$6:$A$705,"&gt;="&amp;I$5,'Time Log'!$A$6:$A$705,"&lt;="&amp;EOMONTH(I$5,0)))</f>
        <v>18.5</v>
      </c>
      <c r="J64" s="36" t="n">
        <f aca="false">IF($A64="","",SUMIFS('Time Log'!$D$6:$D$705,'Time Log'!$B$6:$B$705,$A64,'Time Log'!$A$6:$A$705,"&gt;="&amp;J$5,'Time Log'!$A$6:$A$705,"&lt;="&amp;EOMONTH(J$5,0)))</f>
        <v>21</v>
      </c>
      <c r="K64" s="36" t="n">
        <f aca="false">IF($A64="","",SUMIFS('Time Log'!$D$6:$D$705,'Time Log'!$B$6:$B$705,$A64,'Time Log'!$A$6:$A$705,"&gt;="&amp;K$5,'Time Log'!$A$6:$A$705,"&lt;="&amp;EOMONTH(K$5,0)))</f>
        <v>0</v>
      </c>
      <c r="L64" s="36" t="n">
        <f aca="false">IF($A64="","",SUMIFS('Time Log'!$D$6:$D$705,'Time Log'!$B$6:$B$705,$A64,'Time Log'!$A$6:$A$705,"&gt;="&amp;L$5,'Time Log'!$A$6:$A$705,"&lt;="&amp;EOMONTH(L$5,0)))</f>
        <v>0</v>
      </c>
      <c r="M64" s="36" t="n">
        <f aca="false">IF($A64="","",SUMIFS('Time Log'!$D$6:$D$705,'Time Log'!$B$6:$B$705,$A64,'Time Log'!$A$6:$A$705,"&gt;="&amp;M$5,'Time Log'!$A$6:$A$705,"&lt;="&amp;EOMONTH(M$5,0)))</f>
        <v>0</v>
      </c>
      <c r="N64" s="88" t="n">
        <f aca="false">IF($A64="","",SUM(B64:M64))</f>
        <v>39.5</v>
      </c>
    </row>
    <row r="65" customFormat="false" ht="15" hidden="false" customHeight="false" outlineLevel="0" collapsed="false">
      <c r="A65" s="78" t="str">
        <f aca="false">A15</f>
        <v/>
      </c>
      <c r="B65" s="36" t="str">
        <f aca="false">IF($A65="","",SUMIFS('Time Log'!$D$6:$D$705,'Time Log'!$B$6:$B$705,$A65,'Time Log'!$A$6:$A$705,"&gt;="&amp;B$5,'Time Log'!$A$6:$A$705,"&lt;="&amp;EOMONTH(B$5,0)))</f>
        <v/>
      </c>
      <c r="C65" s="36" t="str">
        <f aca="false">IF($A65="","",SUMIFS('Time Log'!$D$6:$D$705,'Time Log'!$B$6:$B$705,$A65,'Time Log'!$A$6:$A$705,"&gt;="&amp;C$5,'Time Log'!$A$6:$A$705,"&lt;="&amp;EOMONTH(C$5,0)))</f>
        <v/>
      </c>
      <c r="D65" s="36" t="str">
        <f aca="false">IF($A65="","",SUMIFS('Time Log'!$D$6:$D$705,'Time Log'!$B$6:$B$705,$A65,'Time Log'!$A$6:$A$705,"&gt;="&amp;D$5,'Time Log'!$A$6:$A$705,"&lt;="&amp;EOMONTH(D$5,0)))</f>
        <v/>
      </c>
      <c r="E65" s="36" t="str">
        <f aca="false">IF($A65="","",SUMIFS('Time Log'!$D$6:$D$705,'Time Log'!$B$6:$B$705,$A65,'Time Log'!$A$6:$A$705,"&gt;="&amp;E$5,'Time Log'!$A$6:$A$705,"&lt;="&amp;EOMONTH(E$5,0)))</f>
        <v/>
      </c>
      <c r="F65" s="36" t="str">
        <f aca="false">IF($A65="","",SUMIFS('Time Log'!$D$6:$D$705,'Time Log'!$B$6:$B$705,$A65,'Time Log'!$A$6:$A$705,"&gt;="&amp;F$5,'Time Log'!$A$6:$A$705,"&lt;="&amp;EOMONTH(F$5,0)))</f>
        <v/>
      </c>
      <c r="G65" s="36" t="str">
        <f aca="false">IF($A65="","",SUMIFS('Time Log'!$D$6:$D$705,'Time Log'!$B$6:$B$705,$A65,'Time Log'!$A$6:$A$705,"&gt;="&amp;G$5,'Time Log'!$A$6:$A$705,"&lt;="&amp;EOMONTH(G$5,0)))</f>
        <v/>
      </c>
      <c r="H65" s="36" t="str">
        <f aca="false">IF($A65="","",SUMIFS('Time Log'!$D$6:$D$705,'Time Log'!$B$6:$B$705,$A65,'Time Log'!$A$6:$A$705,"&gt;="&amp;H$5,'Time Log'!$A$6:$A$705,"&lt;="&amp;EOMONTH(H$5,0)))</f>
        <v/>
      </c>
      <c r="I65" s="36" t="str">
        <f aca="false">IF($A65="","",SUMIFS('Time Log'!$D$6:$D$705,'Time Log'!$B$6:$B$705,$A65,'Time Log'!$A$6:$A$705,"&gt;="&amp;I$5,'Time Log'!$A$6:$A$705,"&lt;="&amp;EOMONTH(I$5,0)))</f>
        <v/>
      </c>
      <c r="J65" s="36" t="str">
        <f aca="false">IF($A65="","",SUMIFS('Time Log'!$D$6:$D$705,'Time Log'!$B$6:$B$705,$A65,'Time Log'!$A$6:$A$705,"&gt;="&amp;J$5,'Time Log'!$A$6:$A$705,"&lt;="&amp;EOMONTH(J$5,0)))</f>
        <v/>
      </c>
      <c r="K65" s="36" t="str">
        <f aca="false">IF($A65="","",SUMIFS('Time Log'!$D$6:$D$705,'Time Log'!$B$6:$B$705,$A65,'Time Log'!$A$6:$A$705,"&gt;="&amp;K$5,'Time Log'!$A$6:$A$705,"&lt;="&amp;EOMONTH(K$5,0)))</f>
        <v/>
      </c>
      <c r="L65" s="36" t="str">
        <f aca="false">IF($A65="","",SUMIFS('Time Log'!$D$6:$D$705,'Time Log'!$B$6:$B$705,$A65,'Time Log'!$A$6:$A$705,"&gt;="&amp;L$5,'Time Log'!$A$6:$A$705,"&lt;="&amp;EOMONTH(L$5,0)))</f>
        <v/>
      </c>
      <c r="M65" s="36" t="str">
        <f aca="false">IF($A65="","",SUMIFS('Time Log'!$D$6:$D$705,'Time Log'!$B$6:$B$705,$A65,'Time Log'!$A$6:$A$705,"&gt;="&amp;M$5,'Time Log'!$A$6:$A$705,"&lt;="&amp;EOMONTH(M$5,0)))</f>
        <v/>
      </c>
      <c r="N65" s="88" t="str">
        <f aca="false">IF($A65="","",SUM(B65:M65))</f>
        <v/>
      </c>
    </row>
    <row r="66" customFormat="false" ht="15" hidden="false" customHeight="false" outlineLevel="0" collapsed="false">
      <c r="A66" s="78" t="str">
        <f aca="false">A16</f>
        <v/>
      </c>
      <c r="B66" s="36" t="str">
        <f aca="false">IF($A66="","",SUMIFS('Time Log'!$D$6:$D$705,'Time Log'!$B$6:$B$705,$A66,'Time Log'!$A$6:$A$705,"&gt;="&amp;B$5,'Time Log'!$A$6:$A$705,"&lt;="&amp;EOMONTH(B$5,0)))</f>
        <v/>
      </c>
      <c r="C66" s="36" t="str">
        <f aca="false">IF($A66="","",SUMIFS('Time Log'!$D$6:$D$705,'Time Log'!$B$6:$B$705,$A66,'Time Log'!$A$6:$A$705,"&gt;="&amp;C$5,'Time Log'!$A$6:$A$705,"&lt;="&amp;EOMONTH(C$5,0)))</f>
        <v/>
      </c>
      <c r="D66" s="36" t="str">
        <f aca="false">IF($A66="","",SUMIFS('Time Log'!$D$6:$D$705,'Time Log'!$B$6:$B$705,$A66,'Time Log'!$A$6:$A$705,"&gt;="&amp;D$5,'Time Log'!$A$6:$A$705,"&lt;="&amp;EOMONTH(D$5,0)))</f>
        <v/>
      </c>
      <c r="E66" s="36" t="str">
        <f aca="false">IF($A66="","",SUMIFS('Time Log'!$D$6:$D$705,'Time Log'!$B$6:$B$705,$A66,'Time Log'!$A$6:$A$705,"&gt;="&amp;E$5,'Time Log'!$A$6:$A$705,"&lt;="&amp;EOMONTH(E$5,0)))</f>
        <v/>
      </c>
      <c r="F66" s="36" t="str">
        <f aca="false">IF($A66="","",SUMIFS('Time Log'!$D$6:$D$705,'Time Log'!$B$6:$B$705,$A66,'Time Log'!$A$6:$A$705,"&gt;="&amp;F$5,'Time Log'!$A$6:$A$705,"&lt;="&amp;EOMONTH(F$5,0)))</f>
        <v/>
      </c>
      <c r="G66" s="36" t="str">
        <f aca="false">IF($A66="","",SUMIFS('Time Log'!$D$6:$D$705,'Time Log'!$B$6:$B$705,$A66,'Time Log'!$A$6:$A$705,"&gt;="&amp;G$5,'Time Log'!$A$6:$A$705,"&lt;="&amp;EOMONTH(G$5,0)))</f>
        <v/>
      </c>
      <c r="H66" s="36" t="str">
        <f aca="false">IF($A66="","",SUMIFS('Time Log'!$D$6:$D$705,'Time Log'!$B$6:$B$705,$A66,'Time Log'!$A$6:$A$705,"&gt;="&amp;H$5,'Time Log'!$A$6:$A$705,"&lt;="&amp;EOMONTH(H$5,0)))</f>
        <v/>
      </c>
      <c r="I66" s="36" t="str">
        <f aca="false">IF($A66="","",SUMIFS('Time Log'!$D$6:$D$705,'Time Log'!$B$6:$B$705,$A66,'Time Log'!$A$6:$A$705,"&gt;="&amp;I$5,'Time Log'!$A$6:$A$705,"&lt;="&amp;EOMONTH(I$5,0)))</f>
        <v/>
      </c>
      <c r="J66" s="36" t="str">
        <f aca="false">IF($A66="","",SUMIFS('Time Log'!$D$6:$D$705,'Time Log'!$B$6:$B$705,$A66,'Time Log'!$A$6:$A$705,"&gt;="&amp;J$5,'Time Log'!$A$6:$A$705,"&lt;="&amp;EOMONTH(J$5,0)))</f>
        <v/>
      </c>
      <c r="K66" s="36" t="str">
        <f aca="false">IF($A66="","",SUMIFS('Time Log'!$D$6:$D$705,'Time Log'!$B$6:$B$705,$A66,'Time Log'!$A$6:$A$705,"&gt;="&amp;K$5,'Time Log'!$A$6:$A$705,"&lt;="&amp;EOMONTH(K$5,0)))</f>
        <v/>
      </c>
      <c r="L66" s="36" t="str">
        <f aca="false">IF($A66="","",SUMIFS('Time Log'!$D$6:$D$705,'Time Log'!$B$6:$B$705,$A66,'Time Log'!$A$6:$A$705,"&gt;="&amp;L$5,'Time Log'!$A$6:$A$705,"&lt;="&amp;EOMONTH(L$5,0)))</f>
        <v/>
      </c>
      <c r="M66" s="36" t="str">
        <f aca="false">IF($A66="","",SUMIFS('Time Log'!$D$6:$D$705,'Time Log'!$B$6:$B$705,$A66,'Time Log'!$A$6:$A$705,"&gt;="&amp;M$5,'Time Log'!$A$6:$A$705,"&lt;="&amp;EOMONTH(M$5,0)))</f>
        <v/>
      </c>
      <c r="N66" s="88" t="str">
        <f aca="false">IF($A66="","",SUM(B66:M66))</f>
        <v/>
      </c>
    </row>
    <row r="67" customFormat="false" ht="15" hidden="false" customHeight="false" outlineLevel="0" collapsed="false">
      <c r="A67" s="78" t="str">
        <f aca="false">A17</f>
        <v/>
      </c>
      <c r="B67" s="36" t="str">
        <f aca="false">IF($A67="","",SUMIFS('Time Log'!$D$6:$D$705,'Time Log'!$B$6:$B$705,$A67,'Time Log'!$A$6:$A$705,"&gt;="&amp;B$5,'Time Log'!$A$6:$A$705,"&lt;="&amp;EOMONTH(B$5,0)))</f>
        <v/>
      </c>
      <c r="C67" s="36" t="str">
        <f aca="false">IF($A67="","",SUMIFS('Time Log'!$D$6:$D$705,'Time Log'!$B$6:$B$705,$A67,'Time Log'!$A$6:$A$705,"&gt;="&amp;C$5,'Time Log'!$A$6:$A$705,"&lt;="&amp;EOMONTH(C$5,0)))</f>
        <v/>
      </c>
      <c r="D67" s="36" t="str">
        <f aca="false">IF($A67="","",SUMIFS('Time Log'!$D$6:$D$705,'Time Log'!$B$6:$B$705,$A67,'Time Log'!$A$6:$A$705,"&gt;="&amp;D$5,'Time Log'!$A$6:$A$705,"&lt;="&amp;EOMONTH(D$5,0)))</f>
        <v/>
      </c>
      <c r="E67" s="36" t="str">
        <f aca="false">IF($A67="","",SUMIFS('Time Log'!$D$6:$D$705,'Time Log'!$B$6:$B$705,$A67,'Time Log'!$A$6:$A$705,"&gt;="&amp;E$5,'Time Log'!$A$6:$A$705,"&lt;="&amp;EOMONTH(E$5,0)))</f>
        <v/>
      </c>
      <c r="F67" s="36" t="str">
        <f aca="false">IF($A67="","",SUMIFS('Time Log'!$D$6:$D$705,'Time Log'!$B$6:$B$705,$A67,'Time Log'!$A$6:$A$705,"&gt;="&amp;F$5,'Time Log'!$A$6:$A$705,"&lt;="&amp;EOMONTH(F$5,0)))</f>
        <v/>
      </c>
      <c r="G67" s="36" t="str">
        <f aca="false">IF($A67="","",SUMIFS('Time Log'!$D$6:$D$705,'Time Log'!$B$6:$B$705,$A67,'Time Log'!$A$6:$A$705,"&gt;="&amp;G$5,'Time Log'!$A$6:$A$705,"&lt;="&amp;EOMONTH(G$5,0)))</f>
        <v/>
      </c>
      <c r="H67" s="36" t="str">
        <f aca="false">IF($A67="","",SUMIFS('Time Log'!$D$6:$D$705,'Time Log'!$B$6:$B$705,$A67,'Time Log'!$A$6:$A$705,"&gt;="&amp;H$5,'Time Log'!$A$6:$A$705,"&lt;="&amp;EOMONTH(H$5,0)))</f>
        <v/>
      </c>
      <c r="I67" s="36" t="str">
        <f aca="false">IF($A67="","",SUMIFS('Time Log'!$D$6:$D$705,'Time Log'!$B$6:$B$705,$A67,'Time Log'!$A$6:$A$705,"&gt;="&amp;I$5,'Time Log'!$A$6:$A$705,"&lt;="&amp;EOMONTH(I$5,0)))</f>
        <v/>
      </c>
      <c r="J67" s="36" t="str">
        <f aca="false">IF($A67="","",SUMIFS('Time Log'!$D$6:$D$705,'Time Log'!$B$6:$B$705,$A67,'Time Log'!$A$6:$A$705,"&gt;="&amp;J$5,'Time Log'!$A$6:$A$705,"&lt;="&amp;EOMONTH(J$5,0)))</f>
        <v/>
      </c>
      <c r="K67" s="36" t="str">
        <f aca="false">IF($A67="","",SUMIFS('Time Log'!$D$6:$D$705,'Time Log'!$B$6:$B$705,$A67,'Time Log'!$A$6:$A$705,"&gt;="&amp;K$5,'Time Log'!$A$6:$A$705,"&lt;="&amp;EOMONTH(K$5,0)))</f>
        <v/>
      </c>
      <c r="L67" s="36" t="str">
        <f aca="false">IF($A67="","",SUMIFS('Time Log'!$D$6:$D$705,'Time Log'!$B$6:$B$705,$A67,'Time Log'!$A$6:$A$705,"&gt;="&amp;L$5,'Time Log'!$A$6:$A$705,"&lt;="&amp;EOMONTH(L$5,0)))</f>
        <v/>
      </c>
      <c r="M67" s="36" t="str">
        <f aca="false">IF($A67="","",SUMIFS('Time Log'!$D$6:$D$705,'Time Log'!$B$6:$B$705,$A67,'Time Log'!$A$6:$A$705,"&gt;="&amp;M$5,'Time Log'!$A$6:$A$705,"&lt;="&amp;EOMONTH(M$5,0)))</f>
        <v/>
      </c>
      <c r="N67" s="88" t="str">
        <f aca="false">IF($A67="","",SUM(B67:M67))</f>
        <v/>
      </c>
    </row>
    <row r="68" customFormat="false" ht="15" hidden="false" customHeight="false" outlineLevel="0" collapsed="false">
      <c r="A68" s="78" t="str">
        <f aca="false">A18</f>
        <v/>
      </c>
      <c r="B68" s="36" t="str">
        <f aca="false">IF($A68="","",SUMIFS('Time Log'!$D$6:$D$705,'Time Log'!$B$6:$B$705,$A68,'Time Log'!$A$6:$A$705,"&gt;="&amp;B$5,'Time Log'!$A$6:$A$705,"&lt;="&amp;EOMONTH(B$5,0)))</f>
        <v/>
      </c>
      <c r="C68" s="36" t="str">
        <f aca="false">IF($A68="","",SUMIFS('Time Log'!$D$6:$D$705,'Time Log'!$B$6:$B$705,$A68,'Time Log'!$A$6:$A$705,"&gt;="&amp;C$5,'Time Log'!$A$6:$A$705,"&lt;="&amp;EOMONTH(C$5,0)))</f>
        <v/>
      </c>
      <c r="D68" s="36" t="str">
        <f aca="false">IF($A68="","",SUMIFS('Time Log'!$D$6:$D$705,'Time Log'!$B$6:$B$705,$A68,'Time Log'!$A$6:$A$705,"&gt;="&amp;D$5,'Time Log'!$A$6:$A$705,"&lt;="&amp;EOMONTH(D$5,0)))</f>
        <v/>
      </c>
      <c r="E68" s="36" t="str">
        <f aca="false">IF($A68="","",SUMIFS('Time Log'!$D$6:$D$705,'Time Log'!$B$6:$B$705,$A68,'Time Log'!$A$6:$A$705,"&gt;="&amp;E$5,'Time Log'!$A$6:$A$705,"&lt;="&amp;EOMONTH(E$5,0)))</f>
        <v/>
      </c>
      <c r="F68" s="36" t="str">
        <f aca="false">IF($A68="","",SUMIFS('Time Log'!$D$6:$D$705,'Time Log'!$B$6:$B$705,$A68,'Time Log'!$A$6:$A$705,"&gt;="&amp;F$5,'Time Log'!$A$6:$A$705,"&lt;="&amp;EOMONTH(F$5,0)))</f>
        <v/>
      </c>
      <c r="G68" s="36" t="str">
        <f aca="false">IF($A68="","",SUMIFS('Time Log'!$D$6:$D$705,'Time Log'!$B$6:$B$705,$A68,'Time Log'!$A$6:$A$705,"&gt;="&amp;G$5,'Time Log'!$A$6:$A$705,"&lt;="&amp;EOMONTH(G$5,0)))</f>
        <v/>
      </c>
      <c r="H68" s="36" t="str">
        <f aca="false">IF($A68="","",SUMIFS('Time Log'!$D$6:$D$705,'Time Log'!$B$6:$B$705,$A68,'Time Log'!$A$6:$A$705,"&gt;="&amp;H$5,'Time Log'!$A$6:$A$705,"&lt;="&amp;EOMONTH(H$5,0)))</f>
        <v/>
      </c>
      <c r="I68" s="36" t="str">
        <f aca="false">IF($A68="","",SUMIFS('Time Log'!$D$6:$D$705,'Time Log'!$B$6:$B$705,$A68,'Time Log'!$A$6:$A$705,"&gt;="&amp;I$5,'Time Log'!$A$6:$A$705,"&lt;="&amp;EOMONTH(I$5,0)))</f>
        <v/>
      </c>
      <c r="J68" s="36" t="str">
        <f aca="false">IF($A68="","",SUMIFS('Time Log'!$D$6:$D$705,'Time Log'!$B$6:$B$705,$A68,'Time Log'!$A$6:$A$705,"&gt;="&amp;J$5,'Time Log'!$A$6:$A$705,"&lt;="&amp;EOMONTH(J$5,0)))</f>
        <v/>
      </c>
      <c r="K68" s="36" t="str">
        <f aca="false">IF($A68="","",SUMIFS('Time Log'!$D$6:$D$705,'Time Log'!$B$6:$B$705,$A68,'Time Log'!$A$6:$A$705,"&gt;="&amp;K$5,'Time Log'!$A$6:$A$705,"&lt;="&amp;EOMONTH(K$5,0)))</f>
        <v/>
      </c>
      <c r="L68" s="36" t="str">
        <f aca="false">IF($A68="","",SUMIFS('Time Log'!$D$6:$D$705,'Time Log'!$B$6:$B$705,$A68,'Time Log'!$A$6:$A$705,"&gt;="&amp;L$5,'Time Log'!$A$6:$A$705,"&lt;="&amp;EOMONTH(L$5,0)))</f>
        <v/>
      </c>
      <c r="M68" s="36" t="str">
        <f aca="false">IF($A68="","",SUMIFS('Time Log'!$D$6:$D$705,'Time Log'!$B$6:$B$705,$A68,'Time Log'!$A$6:$A$705,"&gt;="&amp;M$5,'Time Log'!$A$6:$A$705,"&lt;="&amp;EOMONTH(M$5,0)))</f>
        <v/>
      </c>
      <c r="N68" s="88" t="str">
        <f aca="false">IF($A68="","",SUM(B68:M68))</f>
        <v/>
      </c>
    </row>
    <row r="69" customFormat="false" ht="15" hidden="false" customHeight="false" outlineLevel="0" collapsed="false">
      <c r="A69" s="78" t="str">
        <f aca="false">A19</f>
        <v/>
      </c>
      <c r="B69" s="36" t="str">
        <f aca="false">IF($A69="","",SUMIFS('Time Log'!$D$6:$D$705,'Time Log'!$B$6:$B$705,$A69,'Time Log'!$A$6:$A$705,"&gt;="&amp;B$5,'Time Log'!$A$6:$A$705,"&lt;="&amp;EOMONTH(B$5,0)))</f>
        <v/>
      </c>
      <c r="C69" s="36" t="str">
        <f aca="false">IF($A69="","",SUMIFS('Time Log'!$D$6:$D$705,'Time Log'!$B$6:$B$705,$A69,'Time Log'!$A$6:$A$705,"&gt;="&amp;C$5,'Time Log'!$A$6:$A$705,"&lt;="&amp;EOMONTH(C$5,0)))</f>
        <v/>
      </c>
      <c r="D69" s="36" t="str">
        <f aca="false">IF($A69="","",SUMIFS('Time Log'!$D$6:$D$705,'Time Log'!$B$6:$B$705,$A69,'Time Log'!$A$6:$A$705,"&gt;="&amp;D$5,'Time Log'!$A$6:$A$705,"&lt;="&amp;EOMONTH(D$5,0)))</f>
        <v/>
      </c>
      <c r="E69" s="36" t="str">
        <f aca="false">IF($A69="","",SUMIFS('Time Log'!$D$6:$D$705,'Time Log'!$B$6:$B$705,$A69,'Time Log'!$A$6:$A$705,"&gt;="&amp;E$5,'Time Log'!$A$6:$A$705,"&lt;="&amp;EOMONTH(E$5,0)))</f>
        <v/>
      </c>
      <c r="F69" s="36" t="str">
        <f aca="false">IF($A69="","",SUMIFS('Time Log'!$D$6:$D$705,'Time Log'!$B$6:$B$705,$A69,'Time Log'!$A$6:$A$705,"&gt;="&amp;F$5,'Time Log'!$A$6:$A$705,"&lt;="&amp;EOMONTH(F$5,0)))</f>
        <v/>
      </c>
      <c r="G69" s="36" t="str">
        <f aca="false">IF($A69="","",SUMIFS('Time Log'!$D$6:$D$705,'Time Log'!$B$6:$B$705,$A69,'Time Log'!$A$6:$A$705,"&gt;="&amp;G$5,'Time Log'!$A$6:$A$705,"&lt;="&amp;EOMONTH(G$5,0)))</f>
        <v/>
      </c>
      <c r="H69" s="36" t="str">
        <f aca="false">IF($A69="","",SUMIFS('Time Log'!$D$6:$D$705,'Time Log'!$B$6:$B$705,$A69,'Time Log'!$A$6:$A$705,"&gt;="&amp;H$5,'Time Log'!$A$6:$A$705,"&lt;="&amp;EOMONTH(H$5,0)))</f>
        <v/>
      </c>
      <c r="I69" s="36" t="str">
        <f aca="false">IF($A69="","",SUMIFS('Time Log'!$D$6:$D$705,'Time Log'!$B$6:$B$705,$A69,'Time Log'!$A$6:$A$705,"&gt;="&amp;I$5,'Time Log'!$A$6:$A$705,"&lt;="&amp;EOMONTH(I$5,0)))</f>
        <v/>
      </c>
      <c r="J69" s="36" t="str">
        <f aca="false">IF($A69="","",SUMIFS('Time Log'!$D$6:$D$705,'Time Log'!$B$6:$B$705,$A69,'Time Log'!$A$6:$A$705,"&gt;="&amp;J$5,'Time Log'!$A$6:$A$705,"&lt;="&amp;EOMONTH(J$5,0)))</f>
        <v/>
      </c>
      <c r="K69" s="36" t="str">
        <f aca="false">IF($A69="","",SUMIFS('Time Log'!$D$6:$D$705,'Time Log'!$B$6:$B$705,$A69,'Time Log'!$A$6:$A$705,"&gt;="&amp;K$5,'Time Log'!$A$6:$A$705,"&lt;="&amp;EOMONTH(K$5,0)))</f>
        <v/>
      </c>
      <c r="L69" s="36" t="str">
        <f aca="false">IF($A69="","",SUMIFS('Time Log'!$D$6:$D$705,'Time Log'!$B$6:$B$705,$A69,'Time Log'!$A$6:$A$705,"&gt;="&amp;L$5,'Time Log'!$A$6:$A$705,"&lt;="&amp;EOMONTH(L$5,0)))</f>
        <v/>
      </c>
      <c r="M69" s="36" t="str">
        <f aca="false">IF($A69="","",SUMIFS('Time Log'!$D$6:$D$705,'Time Log'!$B$6:$B$705,$A69,'Time Log'!$A$6:$A$705,"&gt;="&amp;M$5,'Time Log'!$A$6:$A$705,"&lt;="&amp;EOMONTH(M$5,0)))</f>
        <v/>
      </c>
      <c r="N69" s="88" t="str">
        <f aca="false">IF($A69="","",SUM(B69:M69))</f>
        <v/>
      </c>
    </row>
    <row r="70" customFormat="false" ht="15" hidden="false" customHeight="false" outlineLevel="0" collapsed="false">
      <c r="A70" s="78" t="str">
        <f aca="false">A20</f>
        <v/>
      </c>
      <c r="B70" s="36" t="str">
        <f aca="false">IF($A70="","",SUMIFS('Time Log'!$D$6:$D$705,'Time Log'!$B$6:$B$705,$A70,'Time Log'!$A$6:$A$705,"&gt;="&amp;B$5,'Time Log'!$A$6:$A$705,"&lt;="&amp;EOMONTH(B$5,0)))</f>
        <v/>
      </c>
      <c r="C70" s="36" t="str">
        <f aca="false">IF($A70="","",SUMIFS('Time Log'!$D$6:$D$705,'Time Log'!$B$6:$B$705,$A70,'Time Log'!$A$6:$A$705,"&gt;="&amp;C$5,'Time Log'!$A$6:$A$705,"&lt;="&amp;EOMONTH(C$5,0)))</f>
        <v/>
      </c>
      <c r="D70" s="36" t="str">
        <f aca="false">IF($A70="","",SUMIFS('Time Log'!$D$6:$D$705,'Time Log'!$B$6:$B$705,$A70,'Time Log'!$A$6:$A$705,"&gt;="&amp;D$5,'Time Log'!$A$6:$A$705,"&lt;="&amp;EOMONTH(D$5,0)))</f>
        <v/>
      </c>
      <c r="E70" s="36" t="str">
        <f aca="false">IF($A70="","",SUMIFS('Time Log'!$D$6:$D$705,'Time Log'!$B$6:$B$705,$A70,'Time Log'!$A$6:$A$705,"&gt;="&amp;E$5,'Time Log'!$A$6:$A$705,"&lt;="&amp;EOMONTH(E$5,0)))</f>
        <v/>
      </c>
      <c r="F70" s="36" t="str">
        <f aca="false">IF($A70="","",SUMIFS('Time Log'!$D$6:$D$705,'Time Log'!$B$6:$B$705,$A70,'Time Log'!$A$6:$A$705,"&gt;="&amp;F$5,'Time Log'!$A$6:$A$705,"&lt;="&amp;EOMONTH(F$5,0)))</f>
        <v/>
      </c>
      <c r="G70" s="36" t="str">
        <f aca="false">IF($A70="","",SUMIFS('Time Log'!$D$6:$D$705,'Time Log'!$B$6:$B$705,$A70,'Time Log'!$A$6:$A$705,"&gt;="&amp;G$5,'Time Log'!$A$6:$A$705,"&lt;="&amp;EOMONTH(G$5,0)))</f>
        <v/>
      </c>
      <c r="H70" s="36" t="str">
        <f aca="false">IF($A70="","",SUMIFS('Time Log'!$D$6:$D$705,'Time Log'!$B$6:$B$705,$A70,'Time Log'!$A$6:$A$705,"&gt;="&amp;H$5,'Time Log'!$A$6:$A$705,"&lt;="&amp;EOMONTH(H$5,0)))</f>
        <v/>
      </c>
      <c r="I70" s="36" t="str">
        <f aca="false">IF($A70="","",SUMIFS('Time Log'!$D$6:$D$705,'Time Log'!$B$6:$B$705,$A70,'Time Log'!$A$6:$A$705,"&gt;="&amp;I$5,'Time Log'!$A$6:$A$705,"&lt;="&amp;EOMONTH(I$5,0)))</f>
        <v/>
      </c>
      <c r="J70" s="36" t="str">
        <f aca="false">IF($A70="","",SUMIFS('Time Log'!$D$6:$D$705,'Time Log'!$B$6:$B$705,$A70,'Time Log'!$A$6:$A$705,"&gt;="&amp;J$5,'Time Log'!$A$6:$A$705,"&lt;="&amp;EOMONTH(J$5,0)))</f>
        <v/>
      </c>
      <c r="K70" s="36" t="str">
        <f aca="false">IF($A70="","",SUMIFS('Time Log'!$D$6:$D$705,'Time Log'!$B$6:$B$705,$A70,'Time Log'!$A$6:$A$705,"&gt;="&amp;K$5,'Time Log'!$A$6:$A$705,"&lt;="&amp;EOMONTH(K$5,0)))</f>
        <v/>
      </c>
      <c r="L70" s="36" t="str">
        <f aca="false">IF($A70="","",SUMIFS('Time Log'!$D$6:$D$705,'Time Log'!$B$6:$B$705,$A70,'Time Log'!$A$6:$A$705,"&gt;="&amp;L$5,'Time Log'!$A$6:$A$705,"&lt;="&amp;EOMONTH(L$5,0)))</f>
        <v/>
      </c>
      <c r="M70" s="36" t="str">
        <f aca="false">IF($A70="","",SUMIFS('Time Log'!$D$6:$D$705,'Time Log'!$B$6:$B$705,$A70,'Time Log'!$A$6:$A$705,"&gt;="&amp;M$5,'Time Log'!$A$6:$A$705,"&lt;="&amp;EOMONTH(M$5,0)))</f>
        <v/>
      </c>
      <c r="N70" s="88" t="str">
        <f aca="false">IF($A70="","",SUM(B70:M70))</f>
        <v/>
      </c>
    </row>
    <row r="71" customFormat="false" ht="15" hidden="false" customHeight="false" outlineLevel="0" collapsed="false">
      <c r="A71" s="78" t="str">
        <f aca="false">A21</f>
        <v/>
      </c>
      <c r="B71" s="36" t="str">
        <f aca="false">IF($A71="","",SUMIFS('Time Log'!$D$6:$D$705,'Time Log'!$B$6:$B$705,$A71,'Time Log'!$A$6:$A$705,"&gt;="&amp;B$5,'Time Log'!$A$6:$A$705,"&lt;="&amp;EOMONTH(B$5,0)))</f>
        <v/>
      </c>
      <c r="C71" s="36" t="str">
        <f aca="false">IF($A71="","",SUMIFS('Time Log'!$D$6:$D$705,'Time Log'!$B$6:$B$705,$A71,'Time Log'!$A$6:$A$705,"&gt;="&amp;C$5,'Time Log'!$A$6:$A$705,"&lt;="&amp;EOMONTH(C$5,0)))</f>
        <v/>
      </c>
      <c r="D71" s="36" t="str">
        <f aca="false">IF($A71="","",SUMIFS('Time Log'!$D$6:$D$705,'Time Log'!$B$6:$B$705,$A71,'Time Log'!$A$6:$A$705,"&gt;="&amp;D$5,'Time Log'!$A$6:$A$705,"&lt;="&amp;EOMONTH(D$5,0)))</f>
        <v/>
      </c>
      <c r="E71" s="36" t="str">
        <f aca="false">IF($A71="","",SUMIFS('Time Log'!$D$6:$D$705,'Time Log'!$B$6:$B$705,$A71,'Time Log'!$A$6:$A$705,"&gt;="&amp;E$5,'Time Log'!$A$6:$A$705,"&lt;="&amp;EOMONTH(E$5,0)))</f>
        <v/>
      </c>
      <c r="F71" s="36" t="str">
        <f aca="false">IF($A71="","",SUMIFS('Time Log'!$D$6:$D$705,'Time Log'!$B$6:$B$705,$A71,'Time Log'!$A$6:$A$705,"&gt;="&amp;F$5,'Time Log'!$A$6:$A$705,"&lt;="&amp;EOMONTH(F$5,0)))</f>
        <v/>
      </c>
      <c r="G71" s="36" t="str">
        <f aca="false">IF($A71="","",SUMIFS('Time Log'!$D$6:$D$705,'Time Log'!$B$6:$B$705,$A71,'Time Log'!$A$6:$A$705,"&gt;="&amp;G$5,'Time Log'!$A$6:$A$705,"&lt;="&amp;EOMONTH(G$5,0)))</f>
        <v/>
      </c>
      <c r="H71" s="36" t="str">
        <f aca="false">IF($A71="","",SUMIFS('Time Log'!$D$6:$D$705,'Time Log'!$B$6:$B$705,$A71,'Time Log'!$A$6:$A$705,"&gt;="&amp;H$5,'Time Log'!$A$6:$A$705,"&lt;="&amp;EOMONTH(H$5,0)))</f>
        <v/>
      </c>
      <c r="I71" s="36" t="str">
        <f aca="false">IF($A71="","",SUMIFS('Time Log'!$D$6:$D$705,'Time Log'!$B$6:$B$705,$A71,'Time Log'!$A$6:$A$705,"&gt;="&amp;I$5,'Time Log'!$A$6:$A$705,"&lt;="&amp;EOMONTH(I$5,0)))</f>
        <v/>
      </c>
      <c r="J71" s="36" t="str">
        <f aca="false">IF($A71="","",SUMIFS('Time Log'!$D$6:$D$705,'Time Log'!$B$6:$B$705,$A71,'Time Log'!$A$6:$A$705,"&gt;="&amp;J$5,'Time Log'!$A$6:$A$705,"&lt;="&amp;EOMONTH(J$5,0)))</f>
        <v/>
      </c>
      <c r="K71" s="36" t="str">
        <f aca="false">IF($A71="","",SUMIFS('Time Log'!$D$6:$D$705,'Time Log'!$B$6:$B$705,$A71,'Time Log'!$A$6:$A$705,"&gt;="&amp;K$5,'Time Log'!$A$6:$A$705,"&lt;="&amp;EOMONTH(K$5,0)))</f>
        <v/>
      </c>
      <c r="L71" s="36" t="str">
        <f aca="false">IF($A71="","",SUMIFS('Time Log'!$D$6:$D$705,'Time Log'!$B$6:$B$705,$A71,'Time Log'!$A$6:$A$705,"&gt;="&amp;L$5,'Time Log'!$A$6:$A$705,"&lt;="&amp;EOMONTH(L$5,0)))</f>
        <v/>
      </c>
      <c r="M71" s="36" t="str">
        <f aca="false">IF($A71="","",SUMIFS('Time Log'!$D$6:$D$705,'Time Log'!$B$6:$B$705,$A71,'Time Log'!$A$6:$A$705,"&gt;="&amp;M$5,'Time Log'!$A$6:$A$705,"&lt;="&amp;EOMONTH(M$5,0)))</f>
        <v/>
      </c>
      <c r="N71" s="88" t="str">
        <f aca="false">IF($A71="","",SUM(B71:M71))</f>
        <v/>
      </c>
    </row>
    <row r="72" customFormat="false" ht="15" hidden="false" customHeight="false" outlineLevel="0" collapsed="false">
      <c r="A72" s="78" t="str">
        <f aca="false">A22</f>
        <v/>
      </c>
      <c r="B72" s="36" t="str">
        <f aca="false">IF($A72="","",SUMIFS('Time Log'!$D$6:$D$705,'Time Log'!$B$6:$B$705,$A72,'Time Log'!$A$6:$A$705,"&gt;="&amp;B$5,'Time Log'!$A$6:$A$705,"&lt;="&amp;EOMONTH(B$5,0)))</f>
        <v/>
      </c>
      <c r="C72" s="36" t="str">
        <f aca="false">IF($A72="","",SUMIFS('Time Log'!$D$6:$D$705,'Time Log'!$B$6:$B$705,$A72,'Time Log'!$A$6:$A$705,"&gt;="&amp;C$5,'Time Log'!$A$6:$A$705,"&lt;="&amp;EOMONTH(C$5,0)))</f>
        <v/>
      </c>
      <c r="D72" s="36" t="str">
        <f aca="false">IF($A72="","",SUMIFS('Time Log'!$D$6:$D$705,'Time Log'!$B$6:$B$705,$A72,'Time Log'!$A$6:$A$705,"&gt;="&amp;D$5,'Time Log'!$A$6:$A$705,"&lt;="&amp;EOMONTH(D$5,0)))</f>
        <v/>
      </c>
      <c r="E72" s="36" t="str">
        <f aca="false">IF($A72="","",SUMIFS('Time Log'!$D$6:$D$705,'Time Log'!$B$6:$B$705,$A72,'Time Log'!$A$6:$A$705,"&gt;="&amp;E$5,'Time Log'!$A$6:$A$705,"&lt;="&amp;EOMONTH(E$5,0)))</f>
        <v/>
      </c>
      <c r="F72" s="36" t="str">
        <f aca="false">IF($A72="","",SUMIFS('Time Log'!$D$6:$D$705,'Time Log'!$B$6:$B$705,$A72,'Time Log'!$A$6:$A$705,"&gt;="&amp;F$5,'Time Log'!$A$6:$A$705,"&lt;="&amp;EOMONTH(F$5,0)))</f>
        <v/>
      </c>
      <c r="G72" s="36" t="str">
        <f aca="false">IF($A72="","",SUMIFS('Time Log'!$D$6:$D$705,'Time Log'!$B$6:$B$705,$A72,'Time Log'!$A$6:$A$705,"&gt;="&amp;G$5,'Time Log'!$A$6:$A$705,"&lt;="&amp;EOMONTH(G$5,0)))</f>
        <v/>
      </c>
      <c r="H72" s="36" t="str">
        <f aca="false">IF($A72="","",SUMIFS('Time Log'!$D$6:$D$705,'Time Log'!$B$6:$B$705,$A72,'Time Log'!$A$6:$A$705,"&gt;="&amp;H$5,'Time Log'!$A$6:$A$705,"&lt;="&amp;EOMONTH(H$5,0)))</f>
        <v/>
      </c>
      <c r="I72" s="36" t="str">
        <f aca="false">IF($A72="","",SUMIFS('Time Log'!$D$6:$D$705,'Time Log'!$B$6:$B$705,$A72,'Time Log'!$A$6:$A$705,"&gt;="&amp;I$5,'Time Log'!$A$6:$A$705,"&lt;="&amp;EOMONTH(I$5,0)))</f>
        <v/>
      </c>
      <c r="J72" s="36" t="str">
        <f aca="false">IF($A72="","",SUMIFS('Time Log'!$D$6:$D$705,'Time Log'!$B$6:$B$705,$A72,'Time Log'!$A$6:$A$705,"&gt;="&amp;J$5,'Time Log'!$A$6:$A$705,"&lt;="&amp;EOMONTH(J$5,0)))</f>
        <v/>
      </c>
      <c r="K72" s="36" t="str">
        <f aca="false">IF($A72="","",SUMIFS('Time Log'!$D$6:$D$705,'Time Log'!$B$6:$B$705,$A72,'Time Log'!$A$6:$A$705,"&gt;="&amp;K$5,'Time Log'!$A$6:$A$705,"&lt;="&amp;EOMONTH(K$5,0)))</f>
        <v/>
      </c>
      <c r="L72" s="36" t="str">
        <f aca="false">IF($A72="","",SUMIFS('Time Log'!$D$6:$D$705,'Time Log'!$B$6:$B$705,$A72,'Time Log'!$A$6:$A$705,"&gt;="&amp;L$5,'Time Log'!$A$6:$A$705,"&lt;="&amp;EOMONTH(L$5,0)))</f>
        <v/>
      </c>
      <c r="M72" s="36" t="str">
        <f aca="false">IF($A72="","",SUMIFS('Time Log'!$D$6:$D$705,'Time Log'!$B$6:$B$705,$A72,'Time Log'!$A$6:$A$705,"&gt;="&amp;M$5,'Time Log'!$A$6:$A$705,"&lt;="&amp;EOMONTH(M$5,0)))</f>
        <v/>
      </c>
      <c r="N72" s="88" t="str">
        <f aca="false">IF($A72="","",SUM(B72:M72))</f>
        <v/>
      </c>
    </row>
    <row r="73" customFormat="false" ht="15" hidden="false" customHeight="false" outlineLevel="0" collapsed="false">
      <c r="A73" s="78" t="str">
        <f aca="false">A23</f>
        <v/>
      </c>
      <c r="B73" s="36" t="str">
        <f aca="false">IF($A73="","",SUMIFS('Time Log'!$D$6:$D$705,'Time Log'!$B$6:$B$705,$A73,'Time Log'!$A$6:$A$705,"&gt;="&amp;B$5,'Time Log'!$A$6:$A$705,"&lt;="&amp;EOMONTH(B$5,0)))</f>
        <v/>
      </c>
      <c r="C73" s="36" t="str">
        <f aca="false">IF($A73="","",SUMIFS('Time Log'!$D$6:$D$705,'Time Log'!$B$6:$B$705,$A73,'Time Log'!$A$6:$A$705,"&gt;="&amp;C$5,'Time Log'!$A$6:$A$705,"&lt;="&amp;EOMONTH(C$5,0)))</f>
        <v/>
      </c>
      <c r="D73" s="36" t="str">
        <f aca="false">IF($A73="","",SUMIFS('Time Log'!$D$6:$D$705,'Time Log'!$B$6:$B$705,$A73,'Time Log'!$A$6:$A$705,"&gt;="&amp;D$5,'Time Log'!$A$6:$A$705,"&lt;="&amp;EOMONTH(D$5,0)))</f>
        <v/>
      </c>
      <c r="E73" s="36" t="str">
        <f aca="false">IF($A73="","",SUMIFS('Time Log'!$D$6:$D$705,'Time Log'!$B$6:$B$705,$A73,'Time Log'!$A$6:$A$705,"&gt;="&amp;E$5,'Time Log'!$A$6:$A$705,"&lt;="&amp;EOMONTH(E$5,0)))</f>
        <v/>
      </c>
      <c r="F73" s="36" t="str">
        <f aca="false">IF($A73="","",SUMIFS('Time Log'!$D$6:$D$705,'Time Log'!$B$6:$B$705,$A73,'Time Log'!$A$6:$A$705,"&gt;="&amp;F$5,'Time Log'!$A$6:$A$705,"&lt;="&amp;EOMONTH(F$5,0)))</f>
        <v/>
      </c>
      <c r="G73" s="36" t="str">
        <f aca="false">IF($A73="","",SUMIFS('Time Log'!$D$6:$D$705,'Time Log'!$B$6:$B$705,$A73,'Time Log'!$A$6:$A$705,"&gt;="&amp;G$5,'Time Log'!$A$6:$A$705,"&lt;="&amp;EOMONTH(G$5,0)))</f>
        <v/>
      </c>
      <c r="H73" s="36" t="str">
        <f aca="false">IF($A73="","",SUMIFS('Time Log'!$D$6:$D$705,'Time Log'!$B$6:$B$705,$A73,'Time Log'!$A$6:$A$705,"&gt;="&amp;H$5,'Time Log'!$A$6:$A$705,"&lt;="&amp;EOMONTH(H$5,0)))</f>
        <v/>
      </c>
      <c r="I73" s="36" t="str">
        <f aca="false">IF($A73="","",SUMIFS('Time Log'!$D$6:$D$705,'Time Log'!$B$6:$B$705,$A73,'Time Log'!$A$6:$A$705,"&gt;="&amp;I$5,'Time Log'!$A$6:$A$705,"&lt;="&amp;EOMONTH(I$5,0)))</f>
        <v/>
      </c>
      <c r="J73" s="36" t="str">
        <f aca="false">IF($A73="","",SUMIFS('Time Log'!$D$6:$D$705,'Time Log'!$B$6:$B$705,$A73,'Time Log'!$A$6:$A$705,"&gt;="&amp;J$5,'Time Log'!$A$6:$A$705,"&lt;="&amp;EOMONTH(J$5,0)))</f>
        <v/>
      </c>
      <c r="K73" s="36" t="str">
        <f aca="false">IF($A73="","",SUMIFS('Time Log'!$D$6:$D$705,'Time Log'!$B$6:$B$705,$A73,'Time Log'!$A$6:$A$705,"&gt;="&amp;K$5,'Time Log'!$A$6:$A$705,"&lt;="&amp;EOMONTH(K$5,0)))</f>
        <v/>
      </c>
      <c r="L73" s="36" t="str">
        <f aca="false">IF($A73="","",SUMIFS('Time Log'!$D$6:$D$705,'Time Log'!$B$6:$B$705,$A73,'Time Log'!$A$6:$A$705,"&gt;="&amp;L$5,'Time Log'!$A$6:$A$705,"&lt;="&amp;EOMONTH(L$5,0)))</f>
        <v/>
      </c>
      <c r="M73" s="36" t="str">
        <f aca="false">IF($A73="","",SUMIFS('Time Log'!$D$6:$D$705,'Time Log'!$B$6:$B$705,$A73,'Time Log'!$A$6:$A$705,"&gt;="&amp;M$5,'Time Log'!$A$6:$A$705,"&lt;="&amp;EOMONTH(M$5,0)))</f>
        <v/>
      </c>
      <c r="N73" s="88" t="str">
        <f aca="false">IF($A73="","",SUM(B73:M73))</f>
        <v/>
      </c>
    </row>
    <row r="74" customFormat="false" ht="15" hidden="false" customHeight="false" outlineLevel="0" collapsed="false">
      <c r="A74" s="78" t="str">
        <f aca="false">A24</f>
        <v/>
      </c>
      <c r="B74" s="36" t="str">
        <f aca="false">IF($A74="","",SUMIFS('Time Log'!$D$6:$D$705,'Time Log'!$B$6:$B$705,$A74,'Time Log'!$A$6:$A$705,"&gt;="&amp;B$5,'Time Log'!$A$6:$A$705,"&lt;="&amp;EOMONTH(B$5,0)))</f>
        <v/>
      </c>
      <c r="C74" s="36" t="str">
        <f aca="false">IF($A74="","",SUMIFS('Time Log'!$D$6:$D$705,'Time Log'!$B$6:$B$705,$A74,'Time Log'!$A$6:$A$705,"&gt;="&amp;C$5,'Time Log'!$A$6:$A$705,"&lt;="&amp;EOMONTH(C$5,0)))</f>
        <v/>
      </c>
      <c r="D74" s="36" t="str">
        <f aca="false">IF($A74="","",SUMIFS('Time Log'!$D$6:$D$705,'Time Log'!$B$6:$B$705,$A74,'Time Log'!$A$6:$A$705,"&gt;="&amp;D$5,'Time Log'!$A$6:$A$705,"&lt;="&amp;EOMONTH(D$5,0)))</f>
        <v/>
      </c>
      <c r="E74" s="36" t="str">
        <f aca="false">IF($A74="","",SUMIFS('Time Log'!$D$6:$D$705,'Time Log'!$B$6:$B$705,$A74,'Time Log'!$A$6:$A$705,"&gt;="&amp;E$5,'Time Log'!$A$6:$A$705,"&lt;="&amp;EOMONTH(E$5,0)))</f>
        <v/>
      </c>
      <c r="F74" s="36" t="str">
        <f aca="false">IF($A74="","",SUMIFS('Time Log'!$D$6:$D$705,'Time Log'!$B$6:$B$705,$A74,'Time Log'!$A$6:$A$705,"&gt;="&amp;F$5,'Time Log'!$A$6:$A$705,"&lt;="&amp;EOMONTH(F$5,0)))</f>
        <v/>
      </c>
      <c r="G74" s="36" t="str">
        <f aca="false">IF($A74="","",SUMIFS('Time Log'!$D$6:$D$705,'Time Log'!$B$6:$B$705,$A74,'Time Log'!$A$6:$A$705,"&gt;="&amp;G$5,'Time Log'!$A$6:$A$705,"&lt;="&amp;EOMONTH(G$5,0)))</f>
        <v/>
      </c>
      <c r="H74" s="36" t="str">
        <f aca="false">IF($A74="","",SUMIFS('Time Log'!$D$6:$D$705,'Time Log'!$B$6:$B$705,$A74,'Time Log'!$A$6:$A$705,"&gt;="&amp;H$5,'Time Log'!$A$6:$A$705,"&lt;="&amp;EOMONTH(H$5,0)))</f>
        <v/>
      </c>
      <c r="I74" s="36" t="str">
        <f aca="false">IF($A74="","",SUMIFS('Time Log'!$D$6:$D$705,'Time Log'!$B$6:$B$705,$A74,'Time Log'!$A$6:$A$705,"&gt;="&amp;I$5,'Time Log'!$A$6:$A$705,"&lt;="&amp;EOMONTH(I$5,0)))</f>
        <v/>
      </c>
      <c r="J74" s="36" t="str">
        <f aca="false">IF($A74="","",SUMIFS('Time Log'!$D$6:$D$705,'Time Log'!$B$6:$B$705,$A74,'Time Log'!$A$6:$A$705,"&gt;="&amp;J$5,'Time Log'!$A$6:$A$705,"&lt;="&amp;EOMONTH(J$5,0)))</f>
        <v/>
      </c>
      <c r="K74" s="36" t="str">
        <f aca="false">IF($A74="","",SUMIFS('Time Log'!$D$6:$D$705,'Time Log'!$B$6:$B$705,$A74,'Time Log'!$A$6:$A$705,"&gt;="&amp;K$5,'Time Log'!$A$6:$A$705,"&lt;="&amp;EOMONTH(K$5,0)))</f>
        <v/>
      </c>
      <c r="L74" s="36" t="str">
        <f aca="false">IF($A74="","",SUMIFS('Time Log'!$D$6:$D$705,'Time Log'!$B$6:$B$705,$A74,'Time Log'!$A$6:$A$705,"&gt;="&amp;L$5,'Time Log'!$A$6:$A$705,"&lt;="&amp;EOMONTH(L$5,0)))</f>
        <v/>
      </c>
      <c r="M74" s="36" t="str">
        <f aca="false">IF($A74="","",SUMIFS('Time Log'!$D$6:$D$705,'Time Log'!$B$6:$B$705,$A74,'Time Log'!$A$6:$A$705,"&gt;="&amp;M$5,'Time Log'!$A$6:$A$705,"&lt;="&amp;EOMONTH(M$5,0)))</f>
        <v/>
      </c>
      <c r="N74" s="88" t="str">
        <f aca="false">IF($A74="","",SUM(B74:M74))</f>
        <v/>
      </c>
    </row>
    <row r="75" customFormat="false" ht="15" hidden="false" customHeight="false" outlineLevel="0" collapsed="false">
      <c r="A75" s="78" t="str">
        <f aca="false">A25</f>
        <v/>
      </c>
      <c r="B75" s="36" t="str">
        <f aca="false">IF($A75="","",SUMIFS('Time Log'!$D$6:$D$705,'Time Log'!$B$6:$B$705,$A75,'Time Log'!$A$6:$A$705,"&gt;="&amp;B$5,'Time Log'!$A$6:$A$705,"&lt;="&amp;EOMONTH(B$5,0)))</f>
        <v/>
      </c>
      <c r="C75" s="36" t="str">
        <f aca="false">IF($A75="","",SUMIFS('Time Log'!$D$6:$D$705,'Time Log'!$B$6:$B$705,$A75,'Time Log'!$A$6:$A$705,"&gt;="&amp;C$5,'Time Log'!$A$6:$A$705,"&lt;="&amp;EOMONTH(C$5,0)))</f>
        <v/>
      </c>
      <c r="D75" s="36" t="str">
        <f aca="false">IF($A75="","",SUMIFS('Time Log'!$D$6:$D$705,'Time Log'!$B$6:$B$705,$A75,'Time Log'!$A$6:$A$705,"&gt;="&amp;D$5,'Time Log'!$A$6:$A$705,"&lt;="&amp;EOMONTH(D$5,0)))</f>
        <v/>
      </c>
      <c r="E75" s="36" t="str">
        <f aca="false">IF($A75="","",SUMIFS('Time Log'!$D$6:$D$705,'Time Log'!$B$6:$B$705,$A75,'Time Log'!$A$6:$A$705,"&gt;="&amp;E$5,'Time Log'!$A$6:$A$705,"&lt;="&amp;EOMONTH(E$5,0)))</f>
        <v/>
      </c>
      <c r="F75" s="36" t="str">
        <f aca="false">IF($A75="","",SUMIFS('Time Log'!$D$6:$D$705,'Time Log'!$B$6:$B$705,$A75,'Time Log'!$A$6:$A$705,"&gt;="&amp;F$5,'Time Log'!$A$6:$A$705,"&lt;="&amp;EOMONTH(F$5,0)))</f>
        <v/>
      </c>
      <c r="G75" s="36" t="str">
        <f aca="false">IF($A75="","",SUMIFS('Time Log'!$D$6:$D$705,'Time Log'!$B$6:$B$705,$A75,'Time Log'!$A$6:$A$705,"&gt;="&amp;G$5,'Time Log'!$A$6:$A$705,"&lt;="&amp;EOMONTH(G$5,0)))</f>
        <v/>
      </c>
      <c r="H75" s="36" t="str">
        <f aca="false">IF($A75="","",SUMIFS('Time Log'!$D$6:$D$705,'Time Log'!$B$6:$B$705,$A75,'Time Log'!$A$6:$A$705,"&gt;="&amp;H$5,'Time Log'!$A$6:$A$705,"&lt;="&amp;EOMONTH(H$5,0)))</f>
        <v/>
      </c>
      <c r="I75" s="36" t="str">
        <f aca="false">IF($A75="","",SUMIFS('Time Log'!$D$6:$D$705,'Time Log'!$B$6:$B$705,$A75,'Time Log'!$A$6:$A$705,"&gt;="&amp;I$5,'Time Log'!$A$6:$A$705,"&lt;="&amp;EOMONTH(I$5,0)))</f>
        <v/>
      </c>
      <c r="J75" s="36" t="str">
        <f aca="false">IF($A75="","",SUMIFS('Time Log'!$D$6:$D$705,'Time Log'!$B$6:$B$705,$A75,'Time Log'!$A$6:$A$705,"&gt;="&amp;J$5,'Time Log'!$A$6:$A$705,"&lt;="&amp;EOMONTH(J$5,0)))</f>
        <v/>
      </c>
      <c r="K75" s="36" t="str">
        <f aca="false">IF($A75="","",SUMIFS('Time Log'!$D$6:$D$705,'Time Log'!$B$6:$B$705,$A75,'Time Log'!$A$6:$A$705,"&gt;="&amp;K$5,'Time Log'!$A$6:$A$705,"&lt;="&amp;EOMONTH(K$5,0)))</f>
        <v/>
      </c>
      <c r="L75" s="36" t="str">
        <f aca="false">IF($A75="","",SUMIFS('Time Log'!$D$6:$D$705,'Time Log'!$B$6:$B$705,$A75,'Time Log'!$A$6:$A$705,"&gt;="&amp;L$5,'Time Log'!$A$6:$A$705,"&lt;="&amp;EOMONTH(L$5,0)))</f>
        <v/>
      </c>
      <c r="M75" s="36" t="str">
        <f aca="false">IF($A75="","",SUMIFS('Time Log'!$D$6:$D$705,'Time Log'!$B$6:$B$705,$A75,'Time Log'!$A$6:$A$705,"&gt;="&amp;M$5,'Time Log'!$A$6:$A$705,"&lt;="&amp;EOMONTH(M$5,0)))</f>
        <v/>
      </c>
      <c r="N75" s="88" t="str">
        <f aca="false">IF($A75="","",SUM(B75:M75))</f>
        <v/>
      </c>
    </row>
    <row r="76" customFormat="false" ht="15" hidden="false" customHeight="false" outlineLevel="0" collapsed="false">
      <c r="A76" s="78" t="str">
        <f aca="false">A26</f>
        <v/>
      </c>
      <c r="B76" s="36" t="str">
        <f aca="false">IF($A76="","",SUMIFS('Time Log'!$D$6:$D$705,'Time Log'!$B$6:$B$705,$A76,'Time Log'!$A$6:$A$705,"&gt;="&amp;B$5,'Time Log'!$A$6:$A$705,"&lt;="&amp;EOMONTH(B$5,0)))</f>
        <v/>
      </c>
      <c r="C76" s="36" t="str">
        <f aca="false">IF($A76="","",SUMIFS('Time Log'!$D$6:$D$705,'Time Log'!$B$6:$B$705,$A76,'Time Log'!$A$6:$A$705,"&gt;="&amp;C$5,'Time Log'!$A$6:$A$705,"&lt;="&amp;EOMONTH(C$5,0)))</f>
        <v/>
      </c>
      <c r="D76" s="36" t="str">
        <f aca="false">IF($A76="","",SUMIFS('Time Log'!$D$6:$D$705,'Time Log'!$B$6:$B$705,$A76,'Time Log'!$A$6:$A$705,"&gt;="&amp;D$5,'Time Log'!$A$6:$A$705,"&lt;="&amp;EOMONTH(D$5,0)))</f>
        <v/>
      </c>
      <c r="E76" s="36" t="str">
        <f aca="false">IF($A76="","",SUMIFS('Time Log'!$D$6:$D$705,'Time Log'!$B$6:$B$705,$A76,'Time Log'!$A$6:$A$705,"&gt;="&amp;E$5,'Time Log'!$A$6:$A$705,"&lt;="&amp;EOMONTH(E$5,0)))</f>
        <v/>
      </c>
      <c r="F76" s="36" t="str">
        <f aca="false">IF($A76="","",SUMIFS('Time Log'!$D$6:$D$705,'Time Log'!$B$6:$B$705,$A76,'Time Log'!$A$6:$A$705,"&gt;="&amp;F$5,'Time Log'!$A$6:$A$705,"&lt;="&amp;EOMONTH(F$5,0)))</f>
        <v/>
      </c>
      <c r="G76" s="36" t="str">
        <f aca="false">IF($A76="","",SUMIFS('Time Log'!$D$6:$D$705,'Time Log'!$B$6:$B$705,$A76,'Time Log'!$A$6:$A$705,"&gt;="&amp;G$5,'Time Log'!$A$6:$A$705,"&lt;="&amp;EOMONTH(G$5,0)))</f>
        <v/>
      </c>
      <c r="H76" s="36" t="str">
        <f aca="false">IF($A76="","",SUMIFS('Time Log'!$D$6:$D$705,'Time Log'!$B$6:$B$705,$A76,'Time Log'!$A$6:$A$705,"&gt;="&amp;H$5,'Time Log'!$A$6:$A$705,"&lt;="&amp;EOMONTH(H$5,0)))</f>
        <v/>
      </c>
      <c r="I76" s="36" t="str">
        <f aca="false">IF($A76="","",SUMIFS('Time Log'!$D$6:$D$705,'Time Log'!$B$6:$B$705,$A76,'Time Log'!$A$6:$A$705,"&gt;="&amp;I$5,'Time Log'!$A$6:$A$705,"&lt;="&amp;EOMONTH(I$5,0)))</f>
        <v/>
      </c>
      <c r="J76" s="36" t="str">
        <f aca="false">IF($A76="","",SUMIFS('Time Log'!$D$6:$D$705,'Time Log'!$B$6:$B$705,$A76,'Time Log'!$A$6:$A$705,"&gt;="&amp;J$5,'Time Log'!$A$6:$A$705,"&lt;="&amp;EOMONTH(J$5,0)))</f>
        <v/>
      </c>
      <c r="K76" s="36" t="str">
        <f aca="false">IF($A76="","",SUMIFS('Time Log'!$D$6:$D$705,'Time Log'!$B$6:$B$705,$A76,'Time Log'!$A$6:$A$705,"&gt;="&amp;K$5,'Time Log'!$A$6:$A$705,"&lt;="&amp;EOMONTH(K$5,0)))</f>
        <v/>
      </c>
      <c r="L76" s="36" t="str">
        <f aca="false">IF($A76="","",SUMIFS('Time Log'!$D$6:$D$705,'Time Log'!$B$6:$B$705,$A76,'Time Log'!$A$6:$A$705,"&gt;="&amp;L$5,'Time Log'!$A$6:$A$705,"&lt;="&amp;EOMONTH(L$5,0)))</f>
        <v/>
      </c>
      <c r="M76" s="36" t="str">
        <f aca="false">IF($A76="","",SUMIFS('Time Log'!$D$6:$D$705,'Time Log'!$B$6:$B$705,$A76,'Time Log'!$A$6:$A$705,"&gt;="&amp;M$5,'Time Log'!$A$6:$A$705,"&lt;="&amp;EOMONTH(M$5,0)))</f>
        <v/>
      </c>
      <c r="N76" s="88" t="str">
        <f aca="false">IF($A76="","",SUM(B76:M76))</f>
        <v/>
      </c>
    </row>
    <row r="77" customFormat="false" ht="15" hidden="false" customHeight="false" outlineLevel="0" collapsed="false">
      <c r="A77" s="81" t="s">
        <v>117</v>
      </c>
      <c r="B77" s="36" t="n">
        <f aca="false">SUMIFS('Time Log'!$D$6:$D$705,'Time Log'!$B$6:$B$705,"Internal / admin",'Time Log'!$A$6:$A$705,"&gt;="&amp;B$5,'Time Log'!$A$6:$A$705,"&lt;="&amp;EOMONTH(B$5,0))</f>
        <v>31.25</v>
      </c>
      <c r="C77" s="36" t="n">
        <f aca="false">SUMIFS('Time Log'!$D$6:$D$705,'Time Log'!$B$6:$B$705,"Internal / admin",'Time Log'!$A$6:$A$705,"&gt;="&amp;C$5,'Time Log'!$A$6:$A$705,"&lt;="&amp;EOMONTH(C$5,0))</f>
        <v>23.75</v>
      </c>
      <c r="D77" s="36" t="n">
        <f aca="false">SUMIFS('Time Log'!$D$6:$D$705,'Time Log'!$B$6:$B$705,"Internal / admin",'Time Log'!$A$6:$A$705,"&gt;="&amp;D$5,'Time Log'!$A$6:$A$705,"&lt;="&amp;EOMONTH(D$5,0))</f>
        <v>21.5</v>
      </c>
      <c r="E77" s="36" t="n">
        <f aca="false">SUMIFS('Time Log'!$D$6:$D$705,'Time Log'!$B$6:$B$705,"Internal / admin",'Time Log'!$A$6:$A$705,"&gt;="&amp;E$5,'Time Log'!$A$6:$A$705,"&lt;="&amp;EOMONTH(E$5,0))</f>
        <v>24.25</v>
      </c>
      <c r="F77" s="36" t="n">
        <f aca="false">SUMIFS('Time Log'!$D$6:$D$705,'Time Log'!$B$6:$B$705,"Internal / admin",'Time Log'!$A$6:$A$705,"&gt;="&amp;F$5,'Time Log'!$A$6:$A$705,"&lt;="&amp;EOMONTH(F$5,0))</f>
        <v>28.5</v>
      </c>
      <c r="G77" s="36" t="n">
        <f aca="false">SUMIFS('Time Log'!$D$6:$D$705,'Time Log'!$B$6:$B$705,"Internal / admin",'Time Log'!$A$6:$A$705,"&gt;="&amp;G$5,'Time Log'!$A$6:$A$705,"&lt;="&amp;EOMONTH(G$5,0))</f>
        <v>23.75</v>
      </c>
      <c r="H77" s="36" t="n">
        <f aca="false">SUMIFS('Time Log'!$D$6:$D$705,'Time Log'!$B$6:$B$705,"Internal / admin",'Time Log'!$A$6:$A$705,"&gt;="&amp;H$5,'Time Log'!$A$6:$A$705,"&lt;="&amp;EOMONTH(H$5,0))</f>
        <v>29.25</v>
      </c>
      <c r="I77" s="36" t="n">
        <f aca="false">SUMIFS('Time Log'!$D$6:$D$705,'Time Log'!$B$6:$B$705,"Internal / admin",'Time Log'!$A$6:$A$705,"&gt;="&amp;I$5,'Time Log'!$A$6:$A$705,"&lt;="&amp;EOMONTH(I$5,0))</f>
        <v>22.25</v>
      </c>
      <c r="J77" s="36" t="n">
        <f aca="false">SUMIFS('Time Log'!$D$6:$D$705,'Time Log'!$B$6:$B$705,"Internal / admin",'Time Log'!$A$6:$A$705,"&gt;="&amp;J$5,'Time Log'!$A$6:$A$705,"&lt;="&amp;EOMONTH(J$5,0))</f>
        <v>22.75</v>
      </c>
      <c r="K77" s="36" t="n">
        <f aca="false">SUMIFS('Time Log'!$D$6:$D$705,'Time Log'!$B$6:$B$705,"Internal / admin",'Time Log'!$A$6:$A$705,"&gt;="&amp;K$5,'Time Log'!$A$6:$A$705,"&lt;="&amp;EOMONTH(K$5,0))</f>
        <v>11.5</v>
      </c>
      <c r="L77" s="36" t="n">
        <f aca="false">SUMIFS('Time Log'!$D$6:$D$705,'Time Log'!$B$6:$B$705,"Internal / admin",'Time Log'!$A$6:$A$705,"&gt;="&amp;L$5,'Time Log'!$A$6:$A$705,"&lt;="&amp;EOMONTH(L$5,0))</f>
        <v>0</v>
      </c>
      <c r="M77" s="36" t="n">
        <f aca="false">SUMIFS('Time Log'!$D$6:$D$705,'Time Log'!$B$6:$B$705,"Internal / admin",'Time Log'!$A$6:$A$705,"&gt;="&amp;M$5,'Time Log'!$A$6:$A$705,"&lt;="&amp;EOMONTH(M$5,0))</f>
        <v>0</v>
      </c>
      <c r="N77" s="88" t="n">
        <f aca="false">SUM(B77:M77)</f>
        <v>238.75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U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14" min="3" style="0" width="9.51"/>
    <col collapsed="false" customWidth="true" hidden="false" outlineLevel="0" max="15" min="15" style="0" width="11"/>
    <col collapsed="false" customWidth="true" hidden="false" outlineLevel="0" max="16" min="16" style="0" width="10"/>
    <col collapsed="false" customWidth="true" hidden="false" outlineLevel="0" max="19" min="17" style="0" width="11"/>
    <col collapsed="false" customWidth="true" hidden="false" outlineLevel="0" max="20" min="20" style="0" width="8"/>
    <col collapsed="false" customWidth="true" hidden="false" outlineLevel="0" max="21" min="21" style="0" width="16"/>
  </cols>
  <sheetData>
    <row r="1" customFormat="false" ht="22.05" hidden="false" customHeight="false" outlineLevel="0" collapsed="false">
      <c r="A1" s="48" t="s">
        <v>436</v>
      </c>
    </row>
    <row r="2" customFormat="false" ht="15" hidden="false" customHeight="false" outlineLevel="0" collapsed="false">
      <c r="A2" s="49" t="s">
        <v>437</v>
      </c>
    </row>
    <row r="3" customFormat="false" ht="15" hidden="false" customHeight="false" outlineLevel="0" collapsed="false">
      <c r="A3" s="89" t="str">
        <f aca="false">"Budget check runs through: "&amp;Dashboard!$C$5&amp;" "&amp;Settings!$C$5</f>
        <v>Budget check runs through: Sep 2026</v>
      </c>
    </row>
    <row r="5" customFormat="false" ht="33.75" hidden="false" customHeight="true" outlineLevel="0" collapsed="false">
      <c r="A5" s="56" t="s">
        <v>327</v>
      </c>
      <c r="B5" s="57" t="s">
        <v>97</v>
      </c>
      <c r="C5" s="80" t="n">
        <f aca="false">DATE(Settings!$C$5,1,1)</f>
        <v>46023</v>
      </c>
      <c r="D5" s="80" t="n">
        <f aca="false">DATE(Settings!$C$5,2,1)</f>
        <v>46054</v>
      </c>
      <c r="E5" s="80" t="n">
        <f aca="false">DATE(Settings!$C$5,3,1)</f>
        <v>46082</v>
      </c>
      <c r="F5" s="80" t="n">
        <f aca="false">DATE(Settings!$C$5,4,1)</f>
        <v>46113</v>
      </c>
      <c r="G5" s="80" t="n">
        <f aca="false">DATE(Settings!$C$5,5,1)</f>
        <v>46143</v>
      </c>
      <c r="H5" s="80" t="n">
        <f aca="false">DATE(Settings!$C$5,6,1)</f>
        <v>46174</v>
      </c>
      <c r="I5" s="80" t="n">
        <f aca="false">DATE(Settings!$C$5,7,1)</f>
        <v>46204</v>
      </c>
      <c r="J5" s="80" t="n">
        <f aca="false">DATE(Settings!$C$5,8,1)</f>
        <v>46235</v>
      </c>
      <c r="K5" s="80" t="n">
        <f aca="false">DATE(Settings!$C$5,9,1)</f>
        <v>46266</v>
      </c>
      <c r="L5" s="80" t="n">
        <f aca="false">DATE(Settings!$C$5,10,1)</f>
        <v>46296</v>
      </c>
      <c r="M5" s="80" t="n">
        <f aca="false">DATE(Settings!$C$5,11,1)</f>
        <v>46327</v>
      </c>
      <c r="N5" s="80" t="n">
        <f aca="false">DATE(Settings!$C$5,12,1)</f>
        <v>46357</v>
      </c>
      <c r="O5" s="57" t="s">
        <v>410</v>
      </c>
      <c r="P5" s="57" t="s">
        <v>98</v>
      </c>
      <c r="Q5" s="57" t="s">
        <v>438</v>
      </c>
      <c r="R5" s="57" t="s">
        <v>439</v>
      </c>
      <c r="S5" s="57" t="s">
        <v>440</v>
      </c>
      <c r="T5" s="57" t="s">
        <v>441</v>
      </c>
      <c r="U5" s="57" t="s">
        <v>195</v>
      </c>
    </row>
    <row r="6" customFormat="false" ht="15" hidden="false" customHeight="false" outlineLevel="0" collapsed="false">
      <c r="A6" s="34" t="str">
        <f aca="false">IF(Settings!B16="","",Settings!B16)</f>
        <v>Owner pay / draws</v>
      </c>
      <c r="B6" s="60" t="str">
        <f aca="false">IF(Settings!C16="","",Settings!C16)</f>
        <v>Owner Pay &amp; Taxes</v>
      </c>
      <c r="C6" s="90" t="n">
        <f aca="false">IF($A6="","",SUMIFS(Expenses!$F$6:$F$805,Expenses!$D$6:$D$805,$A6,Expenses!$A$6:$A$805,"&gt;="&amp;C$5,Expenses!$A$6:$A$805,"&lt;="&amp;EOMONTH(C$5,0)))</f>
        <v>4500</v>
      </c>
      <c r="D6" s="90" t="n">
        <f aca="false">IF($A6="","",SUMIFS(Expenses!$F$6:$F$805,Expenses!$D$6:$D$805,$A6,Expenses!$A$6:$A$805,"&gt;="&amp;D$5,Expenses!$A$6:$A$805,"&lt;="&amp;EOMONTH(D$5,0)))</f>
        <v>4500</v>
      </c>
      <c r="E6" s="90" t="n">
        <f aca="false">IF($A6="","",SUMIFS(Expenses!$F$6:$F$805,Expenses!$D$6:$D$805,$A6,Expenses!$A$6:$A$805,"&gt;="&amp;E$5,Expenses!$A$6:$A$805,"&lt;="&amp;EOMONTH(E$5,0)))</f>
        <v>4500</v>
      </c>
      <c r="F6" s="90" t="n">
        <f aca="false">IF($A6="","",SUMIFS(Expenses!$F$6:$F$805,Expenses!$D$6:$D$805,$A6,Expenses!$A$6:$A$805,"&gt;="&amp;F$5,Expenses!$A$6:$A$805,"&lt;="&amp;EOMONTH(F$5,0)))</f>
        <v>4500</v>
      </c>
      <c r="G6" s="90" t="n">
        <f aca="false">IF($A6="","",SUMIFS(Expenses!$F$6:$F$805,Expenses!$D$6:$D$805,$A6,Expenses!$A$6:$A$805,"&gt;="&amp;G$5,Expenses!$A$6:$A$805,"&lt;="&amp;EOMONTH(G$5,0)))</f>
        <v>4500</v>
      </c>
      <c r="H6" s="90" t="n">
        <f aca="false">IF($A6="","",SUMIFS(Expenses!$F$6:$F$805,Expenses!$D$6:$D$805,$A6,Expenses!$A$6:$A$805,"&gt;="&amp;H$5,Expenses!$A$6:$A$805,"&lt;="&amp;EOMONTH(H$5,0)))</f>
        <v>4500</v>
      </c>
      <c r="I6" s="90" t="n">
        <f aca="false">IF($A6="","",SUMIFS(Expenses!$F$6:$F$805,Expenses!$D$6:$D$805,$A6,Expenses!$A$6:$A$805,"&gt;="&amp;I$5,Expenses!$A$6:$A$805,"&lt;="&amp;EOMONTH(I$5,0)))</f>
        <v>4500</v>
      </c>
      <c r="J6" s="90" t="n">
        <f aca="false">IF($A6="","",SUMIFS(Expenses!$F$6:$F$805,Expenses!$D$6:$D$805,$A6,Expenses!$A$6:$A$805,"&gt;="&amp;J$5,Expenses!$A$6:$A$805,"&lt;="&amp;EOMONTH(J$5,0)))</f>
        <v>4500</v>
      </c>
      <c r="K6" s="90" t="n">
        <f aca="false">IF($A6="","",SUMIFS(Expenses!$F$6:$F$805,Expenses!$D$6:$D$805,$A6,Expenses!$A$6:$A$805,"&gt;="&amp;K$5,Expenses!$A$6:$A$805,"&lt;="&amp;EOMONTH(K$5,0)))</f>
        <v>4500</v>
      </c>
      <c r="L6" s="90" t="n">
        <f aca="false">IF($A6="","",SUMIFS(Expenses!$F$6:$F$805,Expenses!$D$6:$D$805,$A6,Expenses!$A$6:$A$805,"&gt;="&amp;L$5,Expenses!$A$6:$A$805,"&lt;="&amp;EOMONTH(L$5,0)))</f>
        <v>0</v>
      </c>
      <c r="M6" s="90" t="n">
        <f aca="false">IF($A6="","",SUMIFS(Expenses!$F$6:$F$805,Expenses!$D$6:$D$805,$A6,Expenses!$A$6:$A$805,"&gt;="&amp;M$5,Expenses!$A$6:$A$805,"&lt;="&amp;EOMONTH(M$5,0)))</f>
        <v>0</v>
      </c>
      <c r="N6" s="90" t="n">
        <f aca="false">IF($A6="","",SUMIFS(Expenses!$F$6:$F$805,Expenses!$D$6:$D$805,$A6,Expenses!$A$6:$A$805,"&gt;="&amp;N$5,Expenses!$A$6:$A$805,"&lt;="&amp;EOMONTH(N$5,0)))</f>
        <v>0</v>
      </c>
      <c r="O6" s="55" t="n">
        <f aca="false">IF($A6="","",SUM(C6:N6))</f>
        <v>40500</v>
      </c>
      <c r="P6" s="35" t="n">
        <f aca="false">IF($A6="","",N(Settings!D16))</f>
        <v>4500</v>
      </c>
      <c r="Q6" s="35" t="n">
        <f aca="false">IF($A6="","",P6*Dashboard!$P$5)</f>
        <v>40500</v>
      </c>
      <c r="R6" s="35" t="n">
        <f aca="false">IF($A6="","",SUMIFS(Expenses!$F$6:$F$805,Expenses!$D$6:$D$805,$A6,Expenses!$A$6:$A$805,"&gt;="&amp;DATE(Settings!$C$5,1,1),Expenses!$A$6:$A$805,"&lt;="&amp;EOMONTH(DATE(Settings!$C$5,Dashboard!$P$5,1),0)))</f>
        <v>40500</v>
      </c>
      <c r="S6" s="91" t="n">
        <f aca="false">IF($A6="","",Q6-R6)</f>
        <v>0</v>
      </c>
      <c r="T6" s="37" t="n">
        <f aca="false">IF(OR($A6="",N(Q6)=0),"",R6/Q6)</f>
        <v>1</v>
      </c>
      <c r="U6" s="38" t="str">
        <f aca="false">IF($A6="","",IF(N(Q6)=0,IF(N(R6)&gt;0,"No budget set",""),IF(R6&gt;Q6*1.05,"Over budget",IF(R6&gt;=Q6*0.9,"On budget","Under budget"))))</f>
        <v>On budget</v>
      </c>
    </row>
    <row r="7" customFormat="false" ht="15" hidden="false" customHeight="false" outlineLevel="0" collapsed="false">
      <c r="A7" s="34" t="str">
        <f aca="false">IF(Settings!B17="","",Settings!B17)</f>
        <v>Estimated tax payments</v>
      </c>
      <c r="B7" s="60" t="str">
        <f aca="false">IF(Settings!C17="","",Settings!C17)</f>
        <v>Owner Pay &amp; Taxes</v>
      </c>
      <c r="C7" s="90" t="n">
        <f aca="false">IF($A7="","",SUMIFS(Expenses!$F$6:$F$805,Expenses!$D$6:$D$805,$A7,Expenses!$A$6:$A$805,"&gt;="&amp;C$5,Expenses!$A$6:$A$805,"&lt;="&amp;EOMONTH(C$5,0)))</f>
        <v>0</v>
      </c>
      <c r="D7" s="90" t="n">
        <f aca="false">IF($A7="","",SUMIFS(Expenses!$F$6:$F$805,Expenses!$D$6:$D$805,$A7,Expenses!$A$6:$A$805,"&gt;="&amp;D$5,Expenses!$A$6:$A$805,"&lt;="&amp;EOMONTH(D$5,0)))</f>
        <v>0</v>
      </c>
      <c r="E7" s="90" t="n">
        <f aca="false">IF($A7="","",SUMIFS(Expenses!$F$6:$F$805,Expenses!$D$6:$D$805,$A7,Expenses!$A$6:$A$805,"&gt;="&amp;E$5,Expenses!$A$6:$A$805,"&lt;="&amp;EOMONTH(E$5,0)))</f>
        <v>0</v>
      </c>
      <c r="F7" s="90" t="n">
        <f aca="false">IF($A7="","",SUMIFS(Expenses!$F$6:$F$805,Expenses!$D$6:$D$805,$A7,Expenses!$A$6:$A$805,"&gt;="&amp;F$5,Expenses!$A$6:$A$805,"&lt;="&amp;EOMONTH(F$5,0)))</f>
        <v>4500</v>
      </c>
      <c r="G7" s="90" t="n">
        <f aca="false">IF($A7="","",SUMIFS(Expenses!$F$6:$F$805,Expenses!$D$6:$D$805,$A7,Expenses!$A$6:$A$805,"&gt;="&amp;G$5,Expenses!$A$6:$A$805,"&lt;="&amp;EOMONTH(G$5,0)))</f>
        <v>0</v>
      </c>
      <c r="H7" s="90" t="n">
        <f aca="false">IF($A7="","",SUMIFS(Expenses!$F$6:$F$805,Expenses!$D$6:$D$805,$A7,Expenses!$A$6:$A$805,"&gt;="&amp;H$5,Expenses!$A$6:$A$805,"&lt;="&amp;EOMONTH(H$5,0)))</f>
        <v>4500</v>
      </c>
      <c r="I7" s="90" t="n">
        <f aca="false">IF($A7="","",SUMIFS(Expenses!$F$6:$F$805,Expenses!$D$6:$D$805,$A7,Expenses!$A$6:$A$805,"&gt;="&amp;I$5,Expenses!$A$6:$A$805,"&lt;="&amp;EOMONTH(I$5,0)))</f>
        <v>0</v>
      </c>
      <c r="J7" s="90" t="n">
        <f aca="false">IF($A7="","",SUMIFS(Expenses!$F$6:$F$805,Expenses!$D$6:$D$805,$A7,Expenses!$A$6:$A$805,"&gt;="&amp;J$5,Expenses!$A$6:$A$805,"&lt;="&amp;EOMONTH(J$5,0)))</f>
        <v>0</v>
      </c>
      <c r="K7" s="90" t="n">
        <f aca="false">IF($A7="","",SUMIFS(Expenses!$F$6:$F$805,Expenses!$D$6:$D$805,$A7,Expenses!$A$6:$A$805,"&gt;="&amp;K$5,Expenses!$A$6:$A$805,"&lt;="&amp;EOMONTH(K$5,0)))</f>
        <v>4500</v>
      </c>
      <c r="L7" s="90" t="n">
        <f aca="false">IF($A7="","",SUMIFS(Expenses!$F$6:$F$805,Expenses!$D$6:$D$805,$A7,Expenses!$A$6:$A$805,"&gt;="&amp;L$5,Expenses!$A$6:$A$805,"&lt;="&amp;EOMONTH(L$5,0)))</f>
        <v>0</v>
      </c>
      <c r="M7" s="90" t="n">
        <f aca="false">IF($A7="","",SUMIFS(Expenses!$F$6:$F$805,Expenses!$D$6:$D$805,$A7,Expenses!$A$6:$A$805,"&gt;="&amp;M$5,Expenses!$A$6:$A$805,"&lt;="&amp;EOMONTH(M$5,0)))</f>
        <v>0</v>
      </c>
      <c r="N7" s="90" t="n">
        <f aca="false">IF($A7="","",SUMIFS(Expenses!$F$6:$F$805,Expenses!$D$6:$D$805,$A7,Expenses!$A$6:$A$805,"&gt;="&amp;N$5,Expenses!$A$6:$A$805,"&lt;="&amp;EOMONTH(N$5,0)))</f>
        <v>0</v>
      </c>
      <c r="O7" s="55" t="n">
        <f aca="false">IF($A7="","",SUM(C7:N7))</f>
        <v>13500</v>
      </c>
      <c r="P7" s="35" t="n">
        <f aca="false">IF($A7="","",N(Settings!D17))</f>
        <v>1500</v>
      </c>
      <c r="Q7" s="35" t="n">
        <f aca="false">IF($A7="","",P7*Dashboard!$P$5)</f>
        <v>13500</v>
      </c>
      <c r="R7" s="35" t="n">
        <f aca="false">IF($A7="","",SUMIFS(Expenses!$F$6:$F$805,Expenses!$D$6:$D$805,$A7,Expenses!$A$6:$A$805,"&gt;="&amp;DATE(Settings!$C$5,1,1),Expenses!$A$6:$A$805,"&lt;="&amp;EOMONTH(DATE(Settings!$C$5,Dashboard!$P$5,1),0)))</f>
        <v>13500</v>
      </c>
      <c r="S7" s="91" t="n">
        <f aca="false">IF($A7="","",Q7-R7)</f>
        <v>0</v>
      </c>
      <c r="T7" s="37" t="n">
        <f aca="false">IF(OR($A7="",N(Q7)=0),"",R7/Q7)</f>
        <v>1</v>
      </c>
      <c r="U7" s="38" t="str">
        <f aca="false">IF($A7="","",IF(N(Q7)=0,IF(N(R7)&gt;0,"No budget set",""),IF(R7&gt;Q7*1.05,"Over budget",IF(R7&gt;=Q7*0.9,"On budget","Under budget"))))</f>
        <v>On budget</v>
      </c>
    </row>
    <row r="8" customFormat="false" ht="15" hidden="false" customHeight="false" outlineLevel="0" collapsed="false">
      <c r="A8" s="34" t="str">
        <f aca="false">IF(Settings!B18="","",Settings!B18)</f>
        <v>Rent / coworking</v>
      </c>
      <c r="B8" s="60" t="str">
        <f aca="false">IF(Settings!C18="","",Settings!C18)</f>
        <v>Overhead</v>
      </c>
      <c r="C8" s="90" t="n">
        <f aca="false">IF($A8="","",SUMIFS(Expenses!$F$6:$F$805,Expenses!$D$6:$D$805,$A8,Expenses!$A$6:$A$805,"&gt;="&amp;C$5,Expenses!$A$6:$A$805,"&lt;="&amp;EOMONTH(C$5,0)))</f>
        <v>550</v>
      </c>
      <c r="D8" s="90" t="n">
        <f aca="false">IF($A8="","",SUMIFS(Expenses!$F$6:$F$805,Expenses!$D$6:$D$805,$A8,Expenses!$A$6:$A$805,"&gt;="&amp;D$5,Expenses!$A$6:$A$805,"&lt;="&amp;EOMONTH(D$5,0)))</f>
        <v>550</v>
      </c>
      <c r="E8" s="90" t="n">
        <f aca="false">IF($A8="","",SUMIFS(Expenses!$F$6:$F$805,Expenses!$D$6:$D$805,$A8,Expenses!$A$6:$A$805,"&gt;="&amp;E$5,Expenses!$A$6:$A$805,"&lt;="&amp;EOMONTH(E$5,0)))</f>
        <v>550</v>
      </c>
      <c r="F8" s="90" t="n">
        <f aca="false">IF($A8="","",SUMIFS(Expenses!$F$6:$F$805,Expenses!$D$6:$D$805,$A8,Expenses!$A$6:$A$805,"&gt;="&amp;F$5,Expenses!$A$6:$A$805,"&lt;="&amp;EOMONTH(F$5,0)))</f>
        <v>550</v>
      </c>
      <c r="G8" s="90" t="n">
        <f aca="false">IF($A8="","",SUMIFS(Expenses!$F$6:$F$805,Expenses!$D$6:$D$805,$A8,Expenses!$A$6:$A$805,"&gt;="&amp;G$5,Expenses!$A$6:$A$805,"&lt;="&amp;EOMONTH(G$5,0)))</f>
        <v>550</v>
      </c>
      <c r="H8" s="90" t="n">
        <f aca="false">IF($A8="","",SUMIFS(Expenses!$F$6:$F$805,Expenses!$D$6:$D$805,$A8,Expenses!$A$6:$A$805,"&gt;="&amp;H$5,Expenses!$A$6:$A$805,"&lt;="&amp;EOMONTH(H$5,0)))</f>
        <v>550</v>
      </c>
      <c r="I8" s="90" t="n">
        <f aca="false">IF($A8="","",SUMIFS(Expenses!$F$6:$F$805,Expenses!$D$6:$D$805,$A8,Expenses!$A$6:$A$805,"&gt;="&amp;I$5,Expenses!$A$6:$A$805,"&lt;="&amp;EOMONTH(I$5,0)))</f>
        <v>550</v>
      </c>
      <c r="J8" s="90" t="n">
        <f aca="false">IF($A8="","",SUMIFS(Expenses!$F$6:$F$805,Expenses!$D$6:$D$805,$A8,Expenses!$A$6:$A$805,"&gt;="&amp;J$5,Expenses!$A$6:$A$805,"&lt;="&amp;EOMONTH(J$5,0)))</f>
        <v>550</v>
      </c>
      <c r="K8" s="90" t="n">
        <f aca="false">IF($A8="","",SUMIFS(Expenses!$F$6:$F$805,Expenses!$D$6:$D$805,$A8,Expenses!$A$6:$A$805,"&gt;="&amp;K$5,Expenses!$A$6:$A$805,"&lt;="&amp;EOMONTH(K$5,0)))</f>
        <v>550</v>
      </c>
      <c r="L8" s="90" t="n">
        <f aca="false">IF($A8="","",SUMIFS(Expenses!$F$6:$F$805,Expenses!$D$6:$D$805,$A8,Expenses!$A$6:$A$805,"&gt;="&amp;L$5,Expenses!$A$6:$A$805,"&lt;="&amp;EOMONTH(L$5,0)))</f>
        <v>0</v>
      </c>
      <c r="M8" s="90" t="n">
        <f aca="false">IF($A8="","",SUMIFS(Expenses!$F$6:$F$805,Expenses!$D$6:$D$805,$A8,Expenses!$A$6:$A$805,"&gt;="&amp;M$5,Expenses!$A$6:$A$805,"&lt;="&amp;EOMONTH(M$5,0)))</f>
        <v>0</v>
      </c>
      <c r="N8" s="90" t="n">
        <f aca="false">IF($A8="","",SUMIFS(Expenses!$F$6:$F$805,Expenses!$D$6:$D$805,$A8,Expenses!$A$6:$A$805,"&gt;="&amp;N$5,Expenses!$A$6:$A$805,"&lt;="&amp;EOMONTH(N$5,0)))</f>
        <v>0</v>
      </c>
      <c r="O8" s="55" t="n">
        <f aca="false">IF($A8="","",SUM(C8:N8))</f>
        <v>4950</v>
      </c>
      <c r="P8" s="35" t="n">
        <f aca="false">IF($A8="","",N(Settings!D18))</f>
        <v>550</v>
      </c>
      <c r="Q8" s="35" t="n">
        <f aca="false">IF($A8="","",P8*Dashboard!$P$5)</f>
        <v>4950</v>
      </c>
      <c r="R8" s="35" t="n">
        <f aca="false">IF($A8="","",SUMIFS(Expenses!$F$6:$F$805,Expenses!$D$6:$D$805,$A8,Expenses!$A$6:$A$805,"&gt;="&amp;DATE(Settings!$C$5,1,1),Expenses!$A$6:$A$805,"&lt;="&amp;EOMONTH(DATE(Settings!$C$5,Dashboard!$P$5,1),0)))</f>
        <v>4950</v>
      </c>
      <c r="S8" s="91" t="n">
        <f aca="false">IF($A8="","",Q8-R8)</f>
        <v>0</v>
      </c>
      <c r="T8" s="37" t="n">
        <f aca="false">IF(OR($A8="",N(Q8)=0),"",R8/Q8)</f>
        <v>1</v>
      </c>
      <c r="U8" s="38" t="str">
        <f aca="false">IF($A8="","",IF(N(Q8)=0,IF(N(R8)&gt;0,"No budget set",""),IF(R8&gt;Q8*1.05,"Over budget",IF(R8&gt;=Q8*0.9,"On budget","Under budget"))))</f>
        <v>On budget</v>
      </c>
    </row>
    <row r="9" customFormat="false" ht="15" hidden="false" customHeight="false" outlineLevel="0" collapsed="false">
      <c r="A9" s="34" t="str">
        <f aca="false">IF(Settings!B19="","",Settings!B19)</f>
        <v>Utilities &amp; internet</v>
      </c>
      <c r="B9" s="60" t="str">
        <f aca="false">IF(Settings!C19="","",Settings!C19)</f>
        <v>Overhead</v>
      </c>
      <c r="C9" s="90" t="n">
        <f aca="false">IF($A9="","",SUMIFS(Expenses!$F$6:$F$805,Expenses!$D$6:$D$805,$A9,Expenses!$A$6:$A$805,"&gt;="&amp;C$5,Expenses!$A$6:$A$805,"&lt;="&amp;EOMONTH(C$5,0)))</f>
        <v>138.4</v>
      </c>
      <c r="D9" s="90" t="n">
        <f aca="false">IF($A9="","",SUMIFS(Expenses!$F$6:$F$805,Expenses!$D$6:$D$805,$A9,Expenses!$A$6:$A$805,"&gt;="&amp;D$5,Expenses!$A$6:$A$805,"&lt;="&amp;EOMONTH(D$5,0)))</f>
        <v>139.63</v>
      </c>
      <c r="E9" s="90" t="n">
        <f aca="false">IF($A9="","",SUMIFS(Expenses!$F$6:$F$805,Expenses!$D$6:$D$805,$A9,Expenses!$A$6:$A$805,"&gt;="&amp;E$5,Expenses!$A$6:$A$805,"&lt;="&amp;EOMONTH(E$5,0)))</f>
        <v>142.05</v>
      </c>
      <c r="F9" s="90" t="n">
        <f aca="false">IF($A9="","",SUMIFS(Expenses!$F$6:$F$805,Expenses!$D$6:$D$805,$A9,Expenses!$A$6:$A$805,"&gt;="&amp;F$5,Expenses!$A$6:$A$805,"&lt;="&amp;EOMONTH(F$5,0)))</f>
        <v>141.95</v>
      </c>
      <c r="G9" s="90" t="n">
        <f aca="false">IF($A9="","",SUMIFS(Expenses!$F$6:$F$805,Expenses!$D$6:$D$805,$A9,Expenses!$A$6:$A$805,"&gt;="&amp;G$5,Expenses!$A$6:$A$805,"&lt;="&amp;EOMONTH(G$5,0)))</f>
        <v>142.26</v>
      </c>
      <c r="H9" s="90" t="n">
        <f aca="false">IF($A9="","",SUMIFS(Expenses!$F$6:$F$805,Expenses!$D$6:$D$805,$A9,Expenses!$A$6:$A$805,"&gt;="&amp;H$5,Expenses!$A$6:$A$805,"&lt;="&amp;EOMONTH(H$5,0)))</f>
        <v>133.6</v>
      </c>
      <c r="I9" s="90" t="n">
        <f aca="false">IF($A9="","",SUMIFS(Expenses!$F$6:$F$805,Expenses!$D$6:$D$805,$A9,Expenses!$A$6:$A$805,"&gt;="&amp;I$5,Expenses!$A$6:$A$805,"&lt;="&amp;EOMONTH(I$5,0)))</f>
        <v>137.2</v>
      </c>
      <c r="J9" s="90" t="n">
        <f aca="false">IF($A9="","",SUMIFS(Expenses!$F$6:$F$805,Expenses!$D$6:$D$805,$A9,Expenses!$A$6:$A$805,"&gt;="&amp;J$5,Expenses!$A$6:$A$805,"&lt;="&amp;EOMONTH(J$5,0)))</f>
        <v>123.46</v>
      </c>
      <c r="K9" s="90" t="n">
        <f aca="false">IF($A9="","",SUMIFS(Expenses!$F$6:$F$805,Expenses!$D$6:$D$805,$A9,Expenses!$A$6:$A$805,"&gt;="&amp;K$5,Expenses!$A$6:$A$805,"&lt;="&amp;EOMONTH(K$5,0)))</f>
        <v>127.35</v>
      </c>
      <c r="L9" s="90" t="n">
        <f aca="false">IF($A9="","",SUMIFS(Expenses!$F$6:$F$805,Expenses!$D$6:$D$805,$A9,Expenses!$A$6:$A$805,"&gt;="&amp;L$5,Expenses!$A$6:$A$805,"&lt;="&amp;EOMONTH(L$5,0)))</f>
        <v>0</v>
      </c>
      <c r="M9" s="90" t="n">
        <f aca="false">IF($A9="","",SUMIFS(Expenses!$F$6:$F$805,Expenses!$D$6:$D$805,$A9,Expenses!$A$6:$A$805,"&gt;="&amp;M$5,Expenses!$A$6:$A$805,"&lt;="&amp;EOMONTH(M$5,0)))</f>
        <v>0</v>
      </c>
      <c r="N9" s="90" t="n">
        <f aca="false">IF($A9="","",SUMIFS(Expenses!$F$6:$F$805,Expenses!$D$6:$D$805,$A9,Expenses!$A$6:$A$805,"&gt;="&amp;N$5,Expenses!$A$6:$A$805,"&lt;="&amp;EOMONTH(N$5,0)))</f>
        <v>0</v>
      </c>
      <c r="O9" s="55" t="n">
        <f aca="false">IF($A9="","",SUM(C9:N9))</f>
        <v>1225.9</v>
      </c>
      <c r="P9" s="35" t="n">
        <f aca="false">IF($A9="","",N(Settings!D19))</f>
        <v>140</v>
      </c>
      <c r="Q9" s="35" t="n">
        <f aca="false">IF($A9="","",P9*Dashboard!$P$5)</f>
        <v>1260</v>
      </c>
      <c r="R9" s="35" t="n">
        <f aca="false">IF($A9="","",SUMIFS(Expenses!$F$6:$F$805,Expenses!$D$6:$D$805,$A9,Expenses!$A$6:$A$805,"&gt;="&amp;DATE(Settings!$C$5,1,1),Expenses!$A$6:$A$805,"&lt;="&amp;EOMONTH(DATE(Settings!$C$5,Dashboard!$P$5,1),0)))</f>
        <v>1225.9</v>
      </c>
      <c r="S9" s="91" t="n">
        <f aca="false">IF($A9="","",Q9-R9)</f>
        <v>34.0999999999999</v>
      </c>
      <c r="T9" s="37" t="n">
        <f aca="false">IF(OR($A9="",N(Q9)=0),"",R9/Q9)</f>
        <v>0.972936507936508</v>
      </c>
      <c r="U9" s="38" t="str">
        <f aca="false">IF($A9="","",IF(N(Q9)=0,IF(N(R9)&gt;0,"No budget set",""),IF(R9&gt;Q9*1.05,"Over budget",IF(R9&gt;=Q9*0.9,"On budget","Under budget"))))</f>
        <v>On budget</v>
      </c>
    </row>
    <row r="10" customFormat="false" ht="15" hidden="false" customHeight="false" outlineLevel="0" collapsed="false">
      <c r="A10" s="34" t="str">
        <f aca="false">IF(Settings!B20="","",Settings!B20)</f>
        <v>Phone</v>
      </c>
      <c r="B10" s="60" t="str">
        <f aca="false">IF(Settings!C20="","",Settings!C20)</f>
        <v>Overhead</v>
      </c>
      <c r="C10" s="90" t="n">
        <f aca="false">IF($A10="","",SUMIFS(Expenses!$F$6:$F$805,Expenses!$D$6:$D$805,$A10,Expenses!$A$6:$A$805,"&gt;="&amp;C$5,Expenses!$A$6:$A$805,"&lt;="&amp;EOMONTH(C$5,0)))</f>
        <v>85</v>
      </c>
      <c r="D10" s="90" t="n">
        <f aca="false">IF($A10="","",SUMIFS(Expenses!$F$6:$F$805,Expenses!$D$6:$D$805,$A10,Expenses!$A$6:$A$805,"&gt;="&amp;D$5,Expenses!$A$6:$A$805,"&lt;="&amp;EOMONTH(D$5,0)))</f>
        <v>85</v>
      </c>
      <c r="E10" s="90" t="n">
        <f aca="false">IF($A10="","",SUMIFS(Expenses!$F$6:$F$805,Expenses!$D$6:$D$805,$A10,Expenses!$A$6:$A$805,"&gt;="&amp;E$5,Expenses!$A$6:$A$805,"&lt;="&amp;EOMONTH(E$5,0)))</f>
        <v>85</v>
      </c>
      <c r="F10" s="90" t="n">
        <f aca="false">IF($A10="","",SUMIFS(Expenses!$F$6:$F$805,Expenses!$D$6:$D$805,$A10,Expenses!$A$6:$A$805,"&gt;="&amp;F$5,Expenses!$A$6:$A$805,"&lt;="&amp;EOMONTH(F$5,0)))</f>
        <v>85</v>
      </c>
      <c r="G10" s="90" t="n">
        <f aca="false">IF($A10="","",SUMIFS(Expenses!$F$6:$F$805,Expenses!$D$6:$D$805,$A10,Expenses!$A$6:$A$805,"&gt;="&amp;G$5,Expenses!$A$6:$A$805,"&lt;="&amp;EOMONTH(G$5,0)))</f>
        <v>85</v>
      </c>
      <c r="H10" s="90" t="n">
        <f aca="false">IF($A10="","",SUMIFS(Expenses!$F$6:$F$805,Expenses!$D$6:$D$805,$A10,Expenses!$A$6:$A$805,"&gt;="&amp;H$5,Expenses!$A$6:$A$805,"&lt;="&amp;EOMONTH(H$5,0)))</f>
        <v>85</v>
      </c>
      <c r="I10" s="90" t="n">
        <f aca="false">IF($A10="","",SUMIFS(Expenses!$F$6:$F$805,Expenses!$D$6:$D$805,$A10,Expenses!$A$6:$A$805,"&gt;="&amp;I$5,Expenses!$A$6:$A$805,"&lt;="&amp;EOMONTH(I$5,0)))</f>
        <v>85</v>
      </c>
      <c r="J10" s="90" t="n">
        <f aca="false">IF($A10="","",SUMIFS(Expenses!$F$6:$F$805,Expenses!$D$6:$D$805,$A10,Expenses!$A$6:$A$805,"&gt;="&amp;J$5,Expenses!$A$6:$A$805,"&lt;="&amp;EOMONTH(J$5,0)))</f>
        <v>85</v>
      </c>
      <c r="K10" s="90" t="n">
        <f aca="false">IF($A10="","",SUMIFS(Expenses!$F$6:$F$805,Expenses!$D$6:$D$805,$A10,Expenses!$A$6:$A$805,"&gt;="&amp;K$5,Expenses!$A$6:$A$805,"&lt;="&amp;EOMONTH(K$5,0)))</f>
        <v>85</v>
      </c>
      <c r="L10" s="90" t="n">
        <f aca="false">IF($A10="","",SUMIFS(Expenses!$F$6:$F$805,Expenses!$D$6:$D$805,$A10,Expenses!$A$6:$A$805,"&gt;="&amp;L$5,Expenses!$A$6:$A$805,"&lt;="&amp;EOMONTH(L$5,0)))</f>
        <v>0</v>
      </c>
      <c r="M10" s="90" t="n">
        <f aca="false">IF($A10="","",SUMIFS(Expenses!$F$6:$F$805,Expenses!$D$6:$D$805,$A10,Expenses!$A$6:$A$805,"&gt;="&amp;M$5,Expenses!$A$6:$A$805,"&lt;="&amp;EOMONTH(M$5,0)))</f>
        <v>0</v>
      </c>
      <c r="N10" s="90" t="n">
        <f aca="false">IF($A10="","",SUMIFS(Expenses!$F$6:$F$805,Expenses!$D$6:$D$805,$A10,Expenses!$A$6:$A$805,"&gt;="&amp;N$5,Expenses!$A$6:$A$805,"&lt;="&amp;EOMONTH(N$5,0)))</f>
        <v>0</v>
      </c>
      <c r="O10" s="55" t="n">
        <f aca="false">IF($A10="","",SUM(C10:N10))</f>
        <v>765</v>
      </c>
      <c r="P10" s="35" t="n">
        <f aca="false">IF($A10="","",N(Settings!D20))</f>
        <v>85</v>
      </c>
      <c r="Q10" s="35" t="n">
        <f aca="false">IF($A10="","",P10*Dashboard!$P$5)</f>
        <v>765</v>
      </c>
      <c r="R10" s="35" t="n">
        <f aca="false">IF($A10="","",SUMIFS(Expenses!$F$6:$F$805,Expenses!$D$6:$D$805,$A10,Expenses!$A$6:$A$805,"&gt;="&amp;DATE(Settings!$C$5,1,1),Expenses!$A$6:$A$805,"&lt;="&amp;EOMONTH(DATE(Settings!$C$5,Dashboard!$P$5,1),0)))</f>
        <v>765</v>
      </c>
      <c r="S10" s="91" t="n">
        <f aca="false">IF($A10="","",Q10-R10)</f>
        <v>0</v>
      </c>
      <c r="T10" s="37" t="n">
        <f aca="false">IF(OR($A10="",N(Q10)=0),"",R10/Q10)</f>
        <v>1</v>
      </c>
      <c r="U10" s="38" t="str">
        <f aca="false">IF($A10="","",IF(N(Q10)=0,IF(N(R10)&gt;0,"No budget set",""),IF(R10&gt;Q10*1.05,"Over budget",IF(R10&gt;=Q10*0.9,"On budget","Under budget"))))</f>
        <v>On budget</v>
      </c>
    </row>
    <row r="11" customFormat="false" ht="15" hidden="false" customHeight="false" outlineLevel="0" collapsed="false">
      <c r="A11" s="34" t="str">
        <f aca="false">IF(Settings!B21="","",Settings!B21)</f>
        <v>Software &amp; subscriptions</v>
      </c>
      <c r="B11" s="60" t="str">
        <f aca="false">IF(Settings!C21="","",Settings!C21)</f>
        <v>Overhead</v>
      </c>
      <c r="C11" s="90" t="n">
        <f aca="false">IF($A11="","",SUMIFS(Expenses!$F$6:$F$805,Expenses!$D$6:$D$805,$A11,Expenses!$A$6:$A$805,"&gt;="&amp;C$5,Expenses!$A$6:$A$805,"&lt;="&amp;EOMONTH(C$5,0)))</f>
        <v>107</v>
      </c>
      <c r="D11" s="90" t="n">
        <f aca="false">IF($A11="","",SUMIFS(Expenses!$F$6:$F$805,Expenses!$D$6:$D$805,$A11,Expenses!$A$6:$A$805,"&gt;="&amp;D$5,Expenses!$A$6:$A$805,"&lt;="&amp;EOMONTH(D$5,0)))</f>
        <v>107</v>
      </c>
      <c r="E11" s="90" t="n">
        <f aca="false">IF($A11="","",SUMIFS(Expenses!$F$6:$F$805,Expenses!$D$6:$D$805,$A11,Expenses!$A$6:$A$805,"&gt;="&amp;E$5,Expenses!$A$6:$A$805,"&lt;="&amp;EOMONTH(E$5,0)))</f>
        <v>107</v>
      </c>
      <c r="F11" s="90" t="n">
        <f aca="false">IF($A11="","",SUMIFS(Expenses!$F$6:$F$805,Expenses!$D$6:$D$805,$A11,Expenses!$A$6:$A$805,"&gt;="&amp;F$5,Expenses!$A$6:$A$805,"&lt;="&amp;EOMONTH(F$5,0)))</f>
        <v>107</v>
      </c>
      <c r="G11" s="90" t="n">
        <f aca="false">IF($A11="","",SUMIFS(Expenses!$F$6:$F$805,Expenses!$D$6:$D$805,$A11,Expenses!$A$6:$A$805,"&gt;="&amp;G$5,Expenses!$A$6:$A$805,"&lt;="&amp;EOMONTH(G$5,0)))</f>
        <v>107</v>
      </c>
      <c r="H11" s="90" t="n">
        <f aca="false">IF($A11="","",SUMIFS(Expenses!$F$6:$F$805,Expenses!$D$6:$D$805,$A11,Expenses!$A$6:$A$805,"&gt;="&amp;H$5,Expenses!$A$6:$A$805,"&lt;="&amp;EOMONTH(H$5,0)))</f>
        <v>107</v>
      </c>
      <c r="I11" s="90" t="n">
        <f aca="false">IF($A11="","",SUMIFS(Expenses!$F$6:$F$805,Expenses!$D$6:$D$805,$A11,Expenses!$A$6:$A$805,"&gt;="&amp;I$5,Expenses!$A$6:$A$805,"&lt;="&amp;EOMONTH(I$5,0)))</f>
        <v>107</v>
      </c>
      <c r="J11" s="90" t="n">
        <f aca="false">IF($A11="","",SUMIFS(Expenses!$F$6:$F$805,Expenses!$D$6:$D$805,$A11,Expenses!$A$6:$A$805,"&gt;="&amp;J$5,Expenses!$A$6:$A$805,"&lt;="&amp;EOMONTH(J$5,0)))</f>
        <v>107</v>
      </c>
      <c r="K11" s="90" t="n">
        <f aca="false">IF($A11="","",SUMIFS(Expenses!$F$6:$F$805,Expenses!$D$6:$D$805,$A11,Expenses!$A$6:$A$805,"&gt;="&amp;K$5,Expenses!$A$6:$A$805,"&lt;="&amp;EOMONTH(K$5,0)))</f>
        <v>107</v>
      </c>
      <c r="L11" s="90" t="n">
        <f aca="false">IF($A11="","",SUMIFS(Expenses!$F$6:$F$805,Expenses!$D$6:$D$805,$A11,Expenses!$A$6:$A$805,"&gt;="&amp;L$5,Expenses!$A$6:$A$805,"&lt;="&amp;EOMONTH(L$5,0)))</f>
        <v>0</v>
      </c>
      <c r="M11" s="90" t="n">
        <f aca="false">IF($A11="","",SUMIFS(Expenses!$F$6:$F$805,Expenses!$D$6:$D$805,$A11,Expenses!$A$6:$A$805,"&gt;="&amp;M$5,Expenses!$A$6:$A$805,"&lt;="&amp;EOMONTH(M$5,0)))</f>
        <v>0</v>
      </c>
      <c r="N11" s="90" t="n">
        <f aca="false">IF($A11="","",SUMIFS(Expenses!$F$6:$F$805,Expenses!$D$6:$D$805,$A11,Expenses!$A$6:$A$805,"&gt;="&amp;N$5,Expenses!$A$6:$A$805,"&lt;="&amp;EOMONTH(N$5,0)))</f>
        <v>0</v>
      </c>
      <c r="O11" s="55" t="n">
        <f aca="false">IF($A11="","",SUM(C11:N11))</f>
        <v>963</v>
      </c>
      <c r="P11" s="35" t="n">
        <f aca="false">IF($A11="","",N(Settings!D21))</f>
        <v>120</v>
      </c>
      <c r="Q11" s="35" t="n">
        <f aca="false">IF($A11="","",P11*Dashboard!$P$5)</f>
        <v>1080</v>
      </c>
      <c r="R11" s="35" t="n">
        <f aca="false">IF($A11="","",SUMIFS(Expenses!$F$6:$F$805,Expenses!$D$6:$D$805,$A11,Expenses!$A$6:$A$805,"&gt;="&amp;DATE(Settings!$C$5,1,1),Expenses!$A$6:$A$805,"&lt;="&amp;EOMONTH(DATE(Settings!$C$5,Dashboard!$P$5,1),0)))</f>
        <v>963</v>
      </c>
      <c r="S11" s="91" t="n">
        <f aca="false">IF($A11="","",Q11-R11)</f>
        <v>117</v>
      </c>
      <c r="T11" s="37" t="n">
        <f aca="false">IF(OR($A11="",N(Q11)=0),"",R11/Q11)</f>
        <v>0.891666666666667</v>
      </c>
      <c r="U11" s="38" t="str">
        <f aca="false">IF($A11="","",IF(N(Q11)=0,IF(N(R11)&gt;0,"No budget set",""),IF(R11&gt;Q11*1.05,"Over budget",IF(R11&gt;=Q11*0.9,"On budget","Under budget"))))</f>
        <v>Under budget</v>
      </c>
    </row>
    <row r="12" customFormat="false" ht="15" hidden="false" customHeight="false" outlineLevel="0" collapsed="false">
      <c r="A12" s="34" t="str">
        <f aca="false">IF(Settings!B22="","",Settings!B22)</f>
        <v>Insurance</v>
      </c>
      <c r="B12" s="60" t="str">
        <f aca="false">IF(Settings!C22="","",Settings!C22)</f>
        <v>Overhead</v>
      </c>
      <c r="C12" s="90" t="n">
        <f aca="false">IF($A12="","",SUMIFS(Expenses!$F$6:$F$805,Expenses!$D$6:$D$805,$A12,Expenses!$A$6:$A$805,"&gt;="&amp;C$5,Expenses!$A$6:$A$805,"&lt;="&amp;EOMONTH(C$5,0)))</f>
        <v>145</v>
      </c>
      <c r="D12" s="90" t="n">
        <f aca="false">IF($A12="","",SUMIFS(Expenses!$F$6:$F$805,Expenses!$D$6:$D$805,$A12,Expenses!$A$6:$A$805,"&gt;="&amp;D$5,Expenses!$A$6:$A$805,"&lt;="&amp;EOMONTH(D$5,0)))</f>
        <v>145</v>
      </c>
      <c r="E12" s="90" t="n">
        <f aca="false">IF($A12="","",SUMIFS(Expenses!$F$6:$F$805,Expenses!$D$6:$D$805,$A12,Expenses!$A$6:$A$805,"&gt;="&amp;E$5,Expenses!$A$6:$A$805,"&lt;="&amp;EOMONTH(E$5,0)))</f>
        <v>145</v>
      </c>
      <c r="F12" s="90" t="n">
        <f aca="false">IF($A12="","",SUMIFS(Expenses!$F$6:$F$805,Expenses!$D$6:$D$805,$A12,Expenses!$A$6:$A$805,"&gt;="&amp;F$5,Expenses!$A$6:$A$805,"&lt;="&amp;EOMONTH(F$5,0)))</f>
        <v>145</v>
      </c>
      <c r="G12" s="90" t="n">
        <f aca="false">IF($A12="","",SUMIFS(Expenses!$F$6:$F$805,Expenses!$D$6:$D$805,$A12,Expenses!$A$6:$A$805,"&gt;="&amp;G$5,Expenses!$A$6:$A$805,"&lt;="&amp;EOMONTH(G$5,0)))</f>
        <v>145</v>
      </c>
      <c r="H12" s="90" t="n">
        <f aca="false">IF($A12="","",SUMIFS(Expenses!$F$6:$F$805,Expenses!$D$6:$D$805,$A12,Expenses!$A$6:$A$805,"&gt;="&amp;H$5,Expenses!$A$6:$A$805,"&lt;="&amp;EOMONTH(H$5,0)))</f>
        <v>145</v>
      </c>
      <c r="I12" s="90" t="n">
        <f aca="false">IF($A12="","",SUMIFS(Expenses!$F$6:$F$805,Expenses!$D$6:$D$805,$A12,Expenses!$A$6:$A$805,"&gt;="&amp;I$5,Expenses!$A$6:$A$805,"&lt;="&amp;EOMONTH(I$5,0)))</f>
        <v>145</v>
      </c>
      <c r="J12" s="90" t="n">
        <f aca="false">IF($A12="","",SUMIFS(Expenses!$F$6:$F$805,Expenses!$D$6:$D$805,$A12,Expenses!$A$6:$A$805,"&gt;="&amp;J$5,Expenses!$A$6:$A$805,"&lt;="&amp;EOMONTH(J$5,0)))</f>
        <v>145</v>
      </c>
      <c r="K12" s="90" t="n">
        <f aca="false">IF($A12="","",SUMIFS(Expenses!$F$6:$F$805,Expenses!$D$6:$D$805,$A12,Expenses!$A$6:$A$805,"&gt;="&amp;K$5,Expenses!$A$6:$A$805,"&lt;="&amp;EOMONTH(K$5,0)))</f>
        <v>145</v>
      </c>
      <c r="L12" s="90" t="n">
        <f aca="false">IF($A12="","",SUMIFS(Expenses!$F$6:$F$805,Expenses!$D$6:$D$805,$A12,Expenses!$A$6:$A$805,"&gt;="&amp;L$5,Expenses!$A$6:$A$805,"&lt;="&amp;EOMONTH(L$5,0)))</f>
        <v>0</v>
      </c>
      <c r="M12" s="90" t="n">
        <f aca="false">IF($A12="","",SUMIFS(Expenses!$F$6:$F$805,Expenses!$D$6:$D$805,$A12,Expenses!$A$6:$A$805,"&gt;="&amp;M$5,Expenses!$A$6:$A$805,"&lt;="&amp;EOMONTH(M$5,0)))</f>
        <v>0</v>
      </c>
      <c r="N12" s="90" t="n">
        <f aca="false">IF($A12="","",SUMIFS(Expenses!$F$6:$F$805,Expenses!$D$6:$D$805,$A12,Expenses!$A$6:$A$805,"&gt;="&amp;N$5,Expenses!$A$6:$A$805,"&lt;="&amp;EOMONTH(N$5,0)))</f>
        <v>0</v>
      </c>
      <c r="O12" s="55" t="n">
        <f aca="false">IF($A12="","",SUM(C12:N12))</f>
        <v>1305</v>
      </c>
      <c r="P12" s="35" t="n">
        <f aca="false">IF($A12="","",N(Settings!D22))</f>
        <v>145</v>
      </c>
      <c r="Q12" s="35" t="n">
        <f aca="false">IF($A12="","",P12*Dashboard!$P$5)</f>
        <v>1305</v>
      </c>
      <c r="R12" s="35" t="n">
        <f aca="false">IF($A12="","",SUMIFS(Expenses!$F$6:$F$805,Expenses!$D$6:$D$805,$A12,Expenses!$A$6:$A$805,"&gt;="&amp;DATE(Settings!$C$5,1,1),Expenses!$A$6:$A$805,"&lt;="&amp;EOMONTH(DATE(Settings!$C$5,Dashboard!$P$5,1),0)))</f>
        <v>1305</v>
      </c>
      <c r="S12" s="91" t="n">
        <f aca="false">IF($A12="","",Q12-R12)</f>
        <v>0</v>
      </c>
      <c r="T12" s="37" t="n">
        <f aca="false">IF(OR($A12="",N(Q12)=0),"",R12/Q12)</f>
        <v>1</v>
      </c>
      <c r="U12" s="38" t="str">
        <f aca="false">IF($A12="","",IF(N(Q12)=0,IF(N(R12)&gt;0,"No budget set",""),IF(R12&gt;Q12*1.05,"Over budget",IF(R12&gt;=Q12*0.9,"On budget","Under budget"))))</f>
        <v>On budget</v>
      </c>
    </row>
    <row r="13" customFormat="false" ht="15" hidden="false" customHeight="false" outlineLevel="0" collapsed="false">
      <c r="A13" s="34" t="str">
        <f aca="false">IF(Settings!B23="","",Settings!B23)</f>
        <v>Professional services</v>
      </c>
      <c r="B13" s="60" t="str">
        <f aca="false">IF(Settings!C23="","",Settings!C23)</f>
        <v>Overhead</v>
      </c>
      <c r="C13" s="90" t="n">
        <f aca="false">IF($A13="","",SUMIFS(Expenses!$F$6:$F$805,Expenses!$D$6:$D$805,$A13,Expenses!$A$6:$A$805,"&gt;="&amp;C$5,Expenses!$A$6:$A$805,"&lt;="&amp;EOMONTH(C$5,0)))</f>
        <v>350</v>
      </c>
      <c r="D13" s="90" t="n">
        <f aca="false">IF($A13="","",SUMIFS(Expenses!$F$6:$F$805,Expenses!$D$6:$D$805,$A13,Expenses!$A$6:$A$805,"&gt;="&amp;D$5,Expenses!$A$6:$A$805,"&lt;="&amp;EOMONTH(D$5,0)))</f>
        <v>0</v>
      </c>
      <c r="E13" s="90" t="n">
        <f aca="false">IF($A13="","",SUMIFS(Expenses!$F$6:$F$805,Expenses!$D$6:$D$805,$A13,Expenses!$A$6:$A$805,"&gt;="&amp;E$5,Expenses!$A$6:$A$805,"&lt;="&amp;EOMONTH(E$5,0)))</f>
        <v>600</v>
      </c>
      <c r="F13" s="90" t="n">
        <f aca="false">IF($A13="","",SUMIFS(Expenses!$F$6:$F$805,Expenses!$D$6:$D$805,$A13,Expenses!$A$6:$A$805,"&gt;="&amp;F$5,Expenses!$A$6:$A$805,"&lt;="&amp;EOMONTH(F$5,0)))</f>
        <v>0</v>
      </c>
      <c r="G13" s="90" t="n">
        <f aca="false">IF($A13="","",SUMIFS(Expenses!$F$6:$F$805,Expenses!$D$6:$D$805,$A13,Expenses!$A$6:$A$805,"&gt;="&amp;G$5,Expenses!$A$6:$A$805,"&lt;="&amp;EOMONTH(G$5,0)))</f>
        <v>0</v>
      </c>
      <c r="H13" s="90" t="n">
        <f aca="false">IF($A13="","",SUMIFS(Expenses!$F$6:$F$805,Expenses!$D$6:$D$805,$A13,Expenses!$A$6:$A$805,"&gt;="&amp;H$5,Expenses!$A$6:$A$805,"&lt;="&amp;EOMONTH(H$5,0)))</f>
        <v>0</v>
      </c>
      <c r="I13" s="90" t="n">
        <f aca="false">IF($A13="","",SUMIFS(Expenses!$F$6:$F$805,Expenses!$D$6:$D$805,$A13,Expenses!$A$6:$A$805,"&gt;="&amp;I$5,Expenses!$A$6:$A$805,"&lt;="&amp;EOMONTH(I$5,0)))</f>
        <v>0</v>
      </c>
      <c r="J13" s="90" t="n">
        <f aca="false">IF($A13="","",SUMIFS(Expenses!$F$6:$F$805,Expenses!$D$6:$D$805,$A13,Expenses!$A$6:$A$805,"&gt;="&amp;J$5,Expenses!$A$6:$A$805,"&lt;="&amp;EOMONTH(J$5,0)))</f>
        <v>0</v>
      </c>
      <c r="K13" s="90" t="n">
        <f aca="false">IF($A13="","",SUMIFS(Expenses!$F$6:$F$805,Expenses!$D$6:$D$805,$A13,Expenses!$A$6:$A$805,"&gt;="&amp;K$5,Expenses!$A$6:$A$805,"&lt;="&amp;EOMONTH(K$5,0)))</f>
        <v>0</v>
      </c>
      <c r="L13" s="90" t="n">
        <f aca="false">IF($A13="","",SUMIFS(Expenses!$F$6:$F$805,Expenses!$D$6:$D$805,$A13,Expenses!$A$6:$A$805,"&gt;="&amp;L$5,Expenses!$A$6:$A$805,"&lt;="&amp;EOMONTH(L$5,0)))</f>
        <v>0</v>
      </c>
      <c r="M13" s="90" t="n">
        <f aca="false">IF($A13="","",SUMIFS(Expenses!$F$6:$F$805,Expenses!$D$6:$D$805,$A13,Expenses!$A$6:$A$805,"&gt;="&amp;M$5,Expenses!$A$6:$A$805,"&lt;="&amp;EOMONTH(M$5,0)))</f>
        <v>0</v>
      </c>
      <c r="N13" s="90" t="n">
        <f aca="false">IF($A13="","",SUMIFS(Expenses!$F$6:$F$805,Expenses!$D$6:$D$805,$A13,Expenses!$A$6:$A$805,"&gt;="&amp;N$5,Expenses!$A$6:$A$805,"&lt;="&amp;EOMONTH(N$5,0)))</f>
        <v>0</v>
      </c>
      <c r="O13" s="55" t="n">
        <f aca="false">IF($A13="","",SUM(C13:N13))</f>
        <v>950</v>
      </c>
      <c r="P13" s="35" t="n">
        <f aca="false">IF($A13="","",N(Settings!D23))</f>
        <v>100</v>
      </c>
      <c r="Q13" s="35" t="n">
        <f aca="false">IF($A13="","",P13*Dashboard!$P$5)</f>
        <v>900</v>
      </c>
      <c r="R13" s="35" t="n">
        <f aca="false">IF($A13="","",SUMIFS(Expenses!$F$6:$F$805,Expenses!$D$6:$D$805,$A13,Expenses!$A$6:$A$805,"&gt;="&amp;DATE(Settings!$C$5,1,1),Expenses!$A$6:$A$805,"&lt;="&amp;EOMONTH(DATE(Settings!$C$5,Dashboard!$P$5,1),0)))</f>
        <v>950</v>
      </c>
      <c r="S13" s="91" t="n">
        <f aca="false">IF($A13="","",Q13-R13)</f>
        <v>-50</v>
      </c>
      <c r="T13" s="37" t="n">
        <f aca="false">IF(OR($A13="",N(Q13)=0),"",R13/Q13)</f>
        <v>1.05555555555556</v>
      </c>
      <c r="U13" s="38" t="str">
        <f aca="false">IF($A13="","",IF(N(Q13)=0,IF(N(R13)&gt;0,"No budget set",""),IF(R13&gt;Q13*1.05,"Over budget",IF(R13&gt;=Q13*0.9,"On budget","Under budget"))))</f>
        <v>Over budget</v>
      </c>
    </row>
    <row r="14" customFormat="false" ht="15" hidden="false" customHeight="false" outlineLevel="0" collapsed="false">
      <c r="A14" s="34" t="str">
        <f aca="false">IF(Settings!B24="","",Settings!B24)</f>
        <v>Office &amp; supplies</v>
      </c>
      <c r="B14" s="60" t="str">
        <f aca="false">IF(Settings!C24="","",Settings!C24)</f>
        <v>Overhead</v>
      </c>
      <c r="C14" s="90" t="n">
        <f aca="false">IF($A14="","",SUMIFS(Expenses!$F$6:$F$805,Expenses!$D$6:$D$805,$A14,Expenses!$A$6:$A$805,"&gt;="&amp;C$5,Expenses!$A$6:$A$805,"&lt;="&amp;EOMONTH(C$5,0)))</f>
        <v>0</v>
      </c>
      <c r="D14" s="90" t="n">
        <f aca="false">IF($A14="","",SUMIFS(Expenses!$F$6:$F$805,Expenses!$D$6:$D$805,$A14,Expenses!$A$6:$A$805,"&gt;="&amp;D$5,Expenses!$A$6:$A$805,"&lt;="&amp;EOMONTH(D$5,0)))</f>
        <v>83.11</v>
      </c>
      <c r="E14" s="90" t="n">
        <f aca="false">IF($A14="","",SUMIFS(Expenses!$F$6:$F$805,Expenses!$D$6:$D$805,$A14,Expenses!$A$6:$A$805,"&gt;="&amp;E$5,Expenses!$A$6:$A$805,"&lt;="&amp;EOMONTH(E$5,0)))</f>
        <v>0</v>
      </c>
      <c r="F14" s="90" t="n">
        <f aca="false">IF($A14="","",SUMIFS(Expenses!$F$6:$F$805,Expenses!$D$6:$D$805,$A14,Expenses!$A$6:$A$805,"&gt;="&amp;F$5,Expenses!$A$6:$A$805,"&lt;="&amp;EOMONTH(F$5,0)))</f>
        <v>0</v>
      </c>
      <c r="G14" s="90" t="n">
        <f aca="false">IF($A14="","",SUMIFS(Expenses!$F$6:$F$805,Expenses!$D$6:$D$805,$A14,Expenses!$A$6:$A$805,"&gt;="&amp;G$5,Expenses!$A$6:$A$805,"&lt;="&amp;EOMONTH(G$5,0)))</f>
        <v>39.38</v>
      </c>
      <c r="H14" s="90" t="n">
        <f aca="false">IF($A14="","",SUMIFS(Expenses!$F$6:$F$805,Expenses!$D$6:$D$805,$A14,Expenses!$A$6:$A$805,"&gt;="&amp;H$5,Expenses!$A$6:$A$805,"&lt;="&amp;EOMONTH(H$5,0)))</f>
        <v>0</v>
      </c>
      <c r="I14" s="90" t="n">
        <f aca="false">IF($A14="","",SUMIFS(Expenses!$F$6:$F$805,Expenses!$D$6:$D$805,$A14,Expenses!$A$6:$A$805,"&gt;="&amp;I$5,Expenses!$A$6:$A$805,"&lt;="&amp;EOMONTH(I$5,0)))</f>
        <v>0</v>
      </c>
      <c r="J14" s="90" t="n">
        <f aca="false">IF($A14="","",SUMIFS(Expenses!$F$6:$F$805,Expenses!$D$6:$D$805,$A14,Expenses!$A$6:$A$805,"&gt;="&amp;J$5,Expenses!$A$6:$A$805,"&lt;="&amp;EOMONTH(J$5,0)))</f>
        <v>83.94</v>
      </c>
      <c r="K14" s="90" t="n">
        <f aca="false">IF($A14="","",SUMIFS(Expenses!$F$6:$F$805,Expenses!$D$6:$D$805,$A14,Expenses!$A$6:$A$805,"&gt;="&amp;K$5,Expenses!$A$6:$A$805,"&lt;="&amp;EOMONTH(K$5,0)))</f>
        <v>0</v>
      </c>
      <c r="L14" s="90" t="n">
        <f aca="false">IF($A14="","",SUMIFS(Expenses!$F$6:$F$805,Expenses!$D$6:$D$805,$A14,Expenses!$A$6:$A$805,"&gt;="&amp;L$5,Expenses!$A$6:$A$805,"&lt;="&amp;EOMONTH(L$5,0)))</f>
        <v>0</v>
      </c>
      <c r="M14" s="90" t="n">
        <f aca="false">IF($A14="","",SUMIFS(Expenses!$F$6:$F$805,Expenses!$D$6:$D$805,$A14,Expenses!$A$6:$A$805,"&gt;="&amp;M$5,Expenses!$A$6:$A$805,"&lt;="&amp;EOMONTH(M$5,0)))</f>
        <v>0</v>
      </c>
      <c r="N14" s="90" t="n">
        <f aca="false">IF($A14="","",SUMIFS(Expenses!$F$6:$F$805,Expenses!$D$6:$D$805,$A14,Expenses!$A$6:$A$805,"&gt;="&amp;N$5,Expenses!$A$6:$A$805,"&lt;="&amp;EOMONTH(N$5,0)))</f>
        <v>0</v>
      </c>
      <c r="O14" s="55" t="n">
        <f aca="false">IF($A14="","",SUM(C14:N14))</f>
        <v>206.43</v>
      </c>
      <c r="P14" s="35" t="n">
        <f aca="false">IF($A14="","",N(Settings!D24))</f>
        <v>30</v>
      </c>
      <c r="Q14" s="35" t="n">
        <f aca="false">IF($A14="","",P14*Dashboard!$P$5)</f>
        <v>270</v>
      </c>
      <c r="R14" s="35" t="n">
        <f aca="false">IF($A14="","",SUMIFS(Expenses!$F$6:$F$805,Expenses!$D$6:$D$805,$A14,Expenses!$A$6:$A$805,"&gt;="&amp;DATE(Settings!$C$5,1,1),Expenses!$A$6:$A$805,"&lt;="&amp;EOMONTH(DATE(Settings!$C$5,Dashboard!$P$5,1),0)))</f>
        <v>206.43</v>
      </c>
      <c r="S14" s="91" t="n">
        <f aca="false">IF($A14="","",Q14-R14)</f>
        <v>63.57</v>
      </c>
      <c r="T14" s="37" t="n">
        <f aca="false">IF(OR($A14="",N(Q14)=0),"",R14/Q14)</f>
        <v>0.764555555555556</v>
      </c>
      <c r="U14" s="38" t="str">
        <f aca="false">IF($A14="","",IF(N(Q14)=0,IF(N(R14)&gt;0,"No budget set",""),IF(R14&gt;Q14*1.05,"Over budget",IF(R14&gt;=Q14*0.9,"On budget","Under budget"))))</f>
        <v>Under budget</v>
      </c>
    </row>
    <row r="15" customFormat="false" ht="15" hidden="false" customHeight="false" outlineLevel="0" collapsed="false">
      <c r="A15" s="34" t="str">
        <f aca="false">IF(Settings!B25="","",Settings!B25)</f>
        <v>Travel &amp; meals</v>
      </c>
      <c r="B15" s="60" t="str">
        <f aca="false">IF(Settings!C25="","",Settings!C25)</f>
        <v>Overhead</v>
      </c>
      <c r="C15" s="90" t="n">
        <f aca="false">IF($A15="","",SUMIFS(Expenses!$F$6:$F$805,Expenses!$D$6:$D$805,$A15,Expenses!$A$6:$A$805,"&gt;="&amp;C$5,Expenses!$A$6:$A$805,"&lt;="&amp;EOMONTH(C$5,0)))</f>
        <v>44.2</v>
      </c>
      <c r="D15" s="90" t="n">
        <f aca="false">IF($A15="","",SUMIFS(Expenses!$F$6:$F$805,Expenses!$D$6:$D$805,$A15,Expenses!$A$6:$A$805,"&gt;="&amp;D$5,Expenses!$A$6:$A$805,"&lt;="&amp;EOMONTH(D$5,0)))</f>
        <v>0</v>
      </c>
      <c r="E15" s="90" t="n">
        <f aca="false">IF($A15="","",SUMIFS(Expenses!$F$6:$F$805,Expenses!$D$6:$D$805,$A15,Expenses!$A$6:$A$805,"&gt;="&amp;E$5,Expenses!$A$6:$A$805,"&lt;="&amp;EOMONTH(E$5,0)))</f>
        <v>96.2</v>
      </c>
      <c r="F15" s="90" t="n">
        <f aca="false">IF($A15="","",SUMIFS(Expenses!$F$6:$F$805,Expenses!$D$6:$D$805,$A15,Expenses!$A$6:$A$805,"&gt;="&amp;F$5,Expenses!$A$6:$A$805,"&lt;="&amp;EOMONTH(F$5,0)))</f>
        <v>0</v>
      </c>
      <c r="G15" s="90" t="n">
        <f aca="false">IF($A15="","",SUMIFS(Expenses!$F$6:$F$805,Expenses!$D$6:$D$805,$A15,Expenses!$A$6:$A$805,"&gt;="&amp;G$5,Expenses!$A$6:$A$805,"&lt;="&amp;EOMONTH(G$5,0)))</f>
        <v>65.91</v>
      </c>
      <c r="H15" s="90" t="n">
        <f aca="false">IF($A15="","",SUMIFS(Expenses!$F$6:$F$805,Expenses!$D$6:$D$805,$A15,Expenses!$A$6:$A$805,"&gt;="&amp;H$5,Expenses!$A$6:$A$805,"&lt;="&amp;EOMONTH(H$5,0)))</f>
        <v>0</v>
      </c>
      <c r="I15" s="90" t="n">
        <f aca="false">IF($A15="","",SUMIFS(Expenses!$F$6:$F$805,Expenses!$D$6:$D$805,$A15,Expenses!$A$6:$A$805,"&gt;="&amp;I$5,Expenses!$A$6:$A$805,"&lt;="&amp;EOMONTH(I$5,0)))</f>
        <v>107.8</v>
      </c>
      <c r="J15" s="90" t="n">
        <f aca="false">IF($A15="","",SUMIFS(Expenses!$F$6:$F$805,Expenses!$D$6:$D$805,$A15,Expenses!$A$6:$A$805,"&gt;="&amp;J$5,Expenses!$A$6:$A$805,"&lt;="&amp;EOMONTH(J$5,0)))</f>
        <v>0</v>
      </c>
      <c r="K15" s="90" t="n">
        <f aca="false">IF($A15="","",SUMIFS(Expenses!$F$6:$F$805,Expenses!$D$6:$D$805,$A15,Expenses!$A$6:$A$805,"&gt;="&amp;K$5,Expenses!$A$6:$A$805,"&lt;="&amp;EOMONTH(K$5,0)))</f>
        <v>106.67</v>
      </c>
      <c r="L15" s="90" t="n">
        <f aca="false">IF($A15="","",SUMIFS(Expenses!$F$6:$F$805,Expenses!$D$6:$D$805,$A15,Expenses!$A$6:$A$805,"&gt;="&amp;L$5,Expenses!$A$6:$A$805,"&lt;="&amp;EOMONTH(L$5,0)))</f>
        <v>0</v>
      </c>
      <c r="M15" s="90" t="n">
        <f aca="false">IF($A15="","",SUMIFS(Expenses!$F$6:$F$805,Expenses!$D$6:$D$805,$A15,Expenses!$A$6:$A$805,"&gt;="&amp;M$5,Expenses!$A$6:$A$805,"&lt;="&amp;EOMONTH(M$5,0)))</f>
        <v>0</v>
      </c>
      <c r="N15" s="90" t="n">
        <f aca="false">IF($A15="","",SUMIFS(Expenses!$F$6:$F$805,Expenses!$D$6:$D$805,$A15,Expenses!$A$6:$A$805,"&gt;="&amp;N$5,Expenses!$A$6:$A$805,"&lt;="&amp;EOMONTH(N$5,0)))</f>
        <v>0</v>
      </c>
      <c r="O15" s="55" t="n">
        <f aca="false">IF($A15="","",SUM(C15:N15))</f>
        <v>420.78</v>
      </c>
      <c r="P15" s="35" t="n">
        <f aca="false">IF($A15="","",N(Settings!D25))</f>
        <v>75</v>
      </c>
      <c r="Q15" s="35" t="n">
        <f aca="false">IF($A15="","",P15*Dashboard!$P$5)</f>
        <v>675</v>
      </c>
      <c r="R15" s="35" t="n">
        <f aca="false">IF($A15="","",SUMIFS(Expenses!$F$6:$F$805,Expenses!$D$6:$D$805,$A15,Expenses!$A$6:$A$805,"&gt;="&amp;DATE(Settings!$C$5,1,1),Expenses!$A$6:$A$805,"&lt;="&amp;EOMONTH(DATE(Settings!$C$5,Dashboard!$P$5,1),0)))</f>
        <v>420.78</v>
      </c>
      <c r="S15" s="91" t="n">
        <f aca="false">IF($A15="","",Q15-R15)</f>
        <v>254.22</v>
      </c>
      <c r="T15" s="37" t="n">
        <f aca="false">IF(OR($A15="",N(Q15)=0),"",R15/Q15)</f>
        <v>0.623377777777778</v>
      </c>
      <c r="U15" s="38" t="str">
        <f aca="false">IF($A15="","",IF(N(Q15)=0,IF(N(R15)&gt;0,"No budget set",""),IF(R15&gt;Q15*1.05,"Over budget",IF(R15&gt;=Q15*0.9,"On budget","Under budget"))))</f>
        <v>Under budget</v>
      </c>
    </row>
    <row r="16" customFormat="false" ht="15" hidden="false" customHeight="false" outlineLevel="0" collapsed="false">
      <c r="A16" s="34" t="str">
        <f aca="false">IF(Settings!B26="","",Settings!B26)</f>
        <v>Mileage / vehicle</v>
      </c>
      <c r="B16" s="60" t="str">
        <f aca="false">IF(Settings!C26="","",Settings!C26)</f>
        <v>Overhead</v>
      </c>
      <c r="C16" s="90" t="n">
        <f aca="false">IF($A16="","",SUMIFS(Expenses!$F$6:$F$805,Expenses!$D$6:$D$805,$A16,Expenses!$A$6:$A$805,"&gt;="&amp;C$5,Expenses!$A$6:$A$805,"&lt;="&amp;EOMONTH(C$5,0)))</f>
        <v>92.8</v>
      </c>
      <c r="D16" s="90" t="n">
        <f aca="false">IF($A16="","",SUMIFS(Expenses!$F$6:$F$805,Expenses!$D$6:$D$805,$A16,Expenses!$A$6:$A$805,"&gt;="&amp;D$5,Expenses!$A$6:$A$805,"&lt;="&amp;EOMONTH(D$5,0)))</f>
        <v>55.1</v>
      </c>
      <c r="E16" s="90" t="n">
        <f aca="false">IF($A16="","",SUMIFS(Expenses!$F$6:$F$805,Expenses!$D$6:$D$805,$A16,Expenses!$A$6:$A$805,"&gt;="&amp;E$5,Expenses!$A$6:$A$805,"&lt;="&amp;EOMONTH(E$5,0)))</f>
        <v>75.4</v>
      </c>
      <c r="F16" s="90" t="n">
        <f aca="false">IF($A16="","",SUMIFS(Expenses!$F$6:$F$805,Expenses!$D$6:$D$805,$A16,Expenses!$A$6:$A$805,"&gt;="&amp;F$5,Expenses!$A$6:$A$805,"&lt;="&amp;EOMONTH(F$5,0)))</f>
        <v>65.25</v>
      </c>
      <c r="G16" s="90" t="n">
        <f aca="false">IF($A16="","",SUMIFS(Expenses!$F$6:$F$805,Expenses!$D$6:$D$805,$A16,Expenses!$A$6:$A$805,"&gt;="&amp;G$5,Expenses!$A$6:$A$805,"&lt;="&amp;EOMONTH(G$5,0)))</f>
        <v>56.55</v>
      </c>
      <c r="H16" s="90" t="n">
        <f aca="false">IF($A16="","",SUMIFS(Expenses!$F$6:$F$805,Expenses!$D$6:$D$805,$A16,Expenses!$A$6:$A$805,"&gt;="&amp;H$5,Expenses!$A$6:$A$805,"&lt;="&amp;EOMONTH(H$5,0)))</f>
        <v>97.15</v>
      </c>
      <c r="I16" s="90" t="n">
        <f aca="false">IF($A16="","",SUMIFS(Expenses!$F$6:$F$805,Expenses!$D$6:$D$805,$A16,Expenses!$A$6:$A$805,"&gt;="&amp;I$5,Expenses!$A$6:$A$805,"&lt;="&amp;EOMONTH(I$5,0)))</f>
        <v>81.2</v>
      </c>
      <c r="J16" s="90" t="n">
        <f aca="false">IF($A16="","",SUMIFS(Expenses!$F$6:$F$805,Expenses!$D$6:$D$805,$A16,Expenses!$A$6:$A$805,"&gt;="&amp;J$5,Expenses!$A$6:$A$805,"&lt;="&amp;EOMONTH(J$5,0)))</f>
        <v>73.22</v>
      </c>
      <c r="K16" s="90" t="n">
        <f aca="false">IF($A16="","",SUMIFS(Expenses!$F$6:$F$805,Expenses!$D$6:$D$805,$A16,Expenses!$A$6:$A$805,"&gt;="&amp;K$5,Expenses!$A$6:$A$805,"&lt;="&amp;EOMONTH(K$5,0)))</f>
        <v>68.15</v>
      </c>
      <c r="L16" s="90" t="n">
        <f aca="false">IF($A16="","",SUMIFS(Expenses!$F$6:$F$805,Expenses!$D$6:$D$805,$A16,Expenses!$A$6:$A$805,"&gt;="&amp;L$5,Expenses!$A$6:$A$805,"&lt;="&amp;EOMONTH(L$5,0)))</f>
        <v>0</v>
      </c>
      <c r="M16" s="90" t="n">
        <f aca="false">IF($A16="","",SUMIFS(Expenses!$F$6:$F$805,Expenses!$D$6:$D$805,$A16,Expenses!$A$6:$A$805,"&gt;="&amp;M$5,Expenses!$A$6:$A$805,"&lt;="&amp;EOMONTH(M$5,0)))</f>
        <v>0</v>
      </c>
      <c r="N16" s="90" t="n">
        <f aca="false">IF($A16="","",SUMIFS(Expenses!$F$6:$F$805,Expenses!$D$6:$D$805,$A16,Expenses!$A$6:$A$805,"&gt;="&amp;N$5,Expenses!$A$6:$A$805,"&lt;="&amp;EOMONTH(N$5,0)))</f>
        <v>0</v>
      </c>
      <c r="O16" s="55" t="n">
        <f aca="false">IF($A16="","",SUM(C16:N16))</f>
        <v>664.82</v>
      </c>
      <c r="P16" s="35" t="n">
        <f aca="false">IF($A16="","",N(Settings!D26))</f>
        <v>80</v>
      </c>
      <c r="Q16" s="35" t="n">
        <f aca="false">IF($A16="","",P16*Dashboard!$P$5)</f>
        <v>720</v>
      </c>
      <c r="R16" s="35" t="n">
        <f aca="false">IF($A16="","",SUMIFS(Expenses!$F$6:$F$805,Expenses!$D$6:$D$805,$A16,Expenses!$A$6:$A$805,"&gt;="&amp;DATE(Settings!$C$5,1,1),Expenses!$A$6:$A$805,"&lt;="&amp;EOMONTH(DATE(Settings!$C$5,Dashboard!$P$5,1),0)))</f>
        <v>664.82</v>
      </c>
      <c r="S16" s="91" t="n">
        <f aca="false">IF($A16="","",Q16-R16)</f>
        <v>55.18</v>
      </c>
      <c r="T16" s="37" t="n">
        <f aca="false">IF(OR($A16="",N(Q16)=0),"",R16/Q16)</f>
        <v>0.923361111111111</v>
      </c>
      <c r="U16" s="38" t="str">
        <f aca="false">IF($A16="","",IF(N(Q16)=0,IF(N(R16)&gt;0,"No budget set",""),IF(R16&gt;Q16*1.05,"Over budget",IF(R16&gt;=Q16*0.9,"On budget","Under budget"))))</f>
        <v>On budget</v>
      </c>
    </row>
    <row r="17" customFormat="false" ht="15" hidden="false" customHeight="false" outlineLevel="0" collapsed="false">
      <c r="A17" s="34" t="str">
        <f aca="false">IF(Settings!B27="","",Settings!B27)</f>
        <v>Bank &amp; payment fees</v>
      </c>
      <c r="B17" s="60" t="str">
        <f aca="false">IF(Settings!C27="","",Settings!C27)</f>
        <v>Overhead</v>
      </c>
      <c r="C17" s="90" t="n">
        <f aca="false">IF($A17="","",SUMIFS(Expenses!$F$6:$F$805,Expenses!$D$6:$D$805,$A17,Expenses!$A$6:$A$805,"&gt;="&amp;C$5,Expenses!$A$6:$A$805,"&lt;="&amp;EOMONTH(C$5,0)))</f>
        <v>60.3</v>
      </c>
      <c r="D17" s="90" t="n">
        <f aca="false">IF($A17="","",SUMIFS(Expenses!$F$6:$F$805,Expenses!$D$6:$D$805,$A17,Expenses!$A$6:$A$805,"&gt;="&amp;D$5,Expenses!$A$6:$A$805,"&lt;="&amp;EOMONTH(D$5,0)))</f>
        <v>43.04</v>
      </c>
      <c r="E17" s="90" t="n">
        <f aca="false">IF($A17="","",SUMIFS(Expenses!$F$6:$F$805,Expenses!$D$6:$D$805,$A17,Expenses!$A$6:$A$805,"&gt;="&amp;E$5,Expenses!$A$6:$A$805,"&lt;="&amp;EOMONTH(E$5,0)))</f>
        <v>49.37</v>
      </c>
      <c r="F17" s="90" t="n">
        <f aca="false">IF($A17="","",SUMIFS(Expenses!$F$6:$F$805,Expenses!$D$6:$D$805,$A17,Expenses!$A$6:$A$805,"&gt;="&amp;F$5,Expenses!$A$6:$A$805,"&lt;="&amp;EOMONTH(F$5,0)))</f>
        <v>64.55</v>
      </c>
      <c r="G17" s="90" t="n">
        <f aca="false">IF($A17="","",SUMIFS(Expenses!$F$6:$F$805,Expenses!$D$6:$D$805,$A17,Expenses!$A$6:$A$805,"&gt;="&amp;G$5,Expenses!$A$6:$A$805,"&lt;="&amp;EOMONTH(G$5,0)))</f>
        <v>63.66</v>
      </c>
      <c r="H17" s="90" t="n">
        <f aca="false">IF($A17="","",SUMIFS(Expenses!$F$6:$F$805,Expenses!$D$6:$D$805,$A17,Expenses!$A$6:$A$805,"&gt;="&amp;H$5,Expenses!$A$6:$A$805,"&lt;="&amp;EOMONTH(H$5,0)))</f>
        <v>37.12</v>
      </c>
      <c r="I17" s="90" t="n">
        <f aca="false">IF($A17="","",SUMIFS(Expenses!$F$6:$F$805,Expenses!$D$6:$D$805,$A17,Expenses!$A$6:$A$805,"&gt;="&amp;I$5,Expenses!$A$6:$A$805,"&lt;="&amp;EOMONTH(I$5,0)))</f>
        <v>41.34</v>
      </c>
      <c r="J17" s="90" t="n">
        <f aca="false">IF($A17="","",SUMIFS(Expenses!$F$6:$F$805,Expenses!$D$6:$D$805,$A17,Expenses!$A$6:$A$805,"&gt;="&amp;J$5,Expenses!$A$6:$A$805,"&lt;="&amp;EOMONTH(J$5,0)))</f>
        <v>42.35</v>
      </c>
      <c r="K17" s="90" t="n">
        <f aca="false">IF($A17="","",SUMIFS(Expenses!$F$6:$F$805,Expenses!$D$6:$D$805,$A17,Expenses!$A$6:$A$805,"&gt;="&amp;K$5,Expenses!$A$6:$A$805,"&lt;="&amp;EOMONTH(K$5,0)))</f>
        <v>64.19</v>
      </c>
      <c r="L17" s="90" t="n">
        <f aca="false">IF($A17="","",SUMIFS(Expenses!$F$6:$F$805,Expenses!$D$6:$D$805,$A17,Expenses!$A$6:$A$805,"&gt;="&amp;L$5,Expenses!$A$6:$A$805,"&lt;="&amp;EOMONTH(L$5,0)))</f>
        <v>0</v>
      </c>
      <c r="M17" s="90" t="n">
        <f aca="false">IF($A17="","",SUMIFS(Expenses!$F$6:$F$805,Expenses!$D$6:$D$805,$A17,Expenses!$A$6:$A$805,"&gt;="&amp;M$5,Expenses!$A$6:$A$805,"&lt;="&amp;EOMONTH(M$5,0)))</f>
        <v>0</v>
      </c>
      <c r="N17" s="90" t="n">
        <f aca="false">IF($A17="","",SUMIFS(Expenses!$F$6:$F$805,Expenses!$D$6:$D$805,$A17,Expenses!$A$6:$A$805,"&gt;="&amp;N$5,Expenses!$A$6:$A$805,"&lt;="&amp;EOMONTH(N$5,0)))</f>
        <v>0</v>
      </c>
      <c r="O17" s="55" t="n">
        <f aca="false">IF($A17="","",SUM(C17:N17))</f>
        <v>465.92</v>
      </c>
      <c r="P17" s="35" t="n">
        <f aca="false">IF($A17="","",N(Settings!D27))</f>
        <v>50</v>
      </c>
      <c r="Q17" s="35" t="n">
        <f aca="false">IF($A17="","",P17*Dashboard!$P$5)</f>
        <v>450</v>
      </c>
      <c r="R17" s="35" t="n">
        <f aca="false">IF($A17="","",SUMIFS(Expenses!$F$6:$F$805,Expenses!$D$6:$D$805,$A17,Expenses!$A$6:$A$805,"&gt;="&amp;DATE(Settings!$C$5,1,1),Expenses!$A$6:$A$805,"&lt;="&amp;EOMONTH(DATE(Settings!$C$5,Dashboard!$P$5,1),0)))</f>
        <v>465.92</v>
      </c>
      <c r="S17" s="91" t="n">
        <f aca="false">IF($A17="","",Q17-R17)</f>
        <v>-15.92</v>
      </c>
      <c r="T17" s="37" t="n">
        <f aca="false">IF(OR($A17="",N(Q17)=0),"",R17/Q17)</f>
        <v>1.03537777777778</v>
      </c>
      <c r="U17" s="38" t="str">
        <f aca="false">IF($A17="","",IF(N(Q17)=0,IF(N(R17)&gt;0,"No budget set",""),IF(R17&gt;Q17*1.05,"Over budget",IF(R17&gt;=Q17*0.9,"On budget","Under budget"))))</f>
        <v>On budget</v>
      </c>
    </row>
    <row r="18" customFormat="false" ht="15" hidden="false" customHeight="false" outlineLevel="0" collapsed="false">
      <c r="A18" s="34" t="str">
        <f aca="false">IF(Settings!B28="","",Settings!B28)</f>
        <v>Education &amp; training</v>
      </c>
      <c r="B18" s="60" t="str">
        <f aca="false">IF(Settings!C28="","",Settings!C28)</f>
        <v>Overhead</v>
      </c>
      <c r="C18" s="90" t="n">
        <f aca="false">IF($A18="","",SUMIFS(Expenses!$F$6:$F$805,Expenses!$D$6:$D$805,$A18,Expenses!$A$6:$A$805,"&gt;="&amp;C$5,Expenses!$A$6:$A$805,"&lt;="&amp;EOMONTH(C$5,0)))</f>
        <v>0</v>
      </c>
      <c r="D18" s="90" t="n">
        <f aca="false">IF($A18="","",SUMIFS(Expenses!$F$6:$F$805,Expenses!$D$6:$D$805,$A18,Expenses!$A$6:$A$805,"&gt;="&amp;D$5,Expenses!$A$6:$A$805,"&lt;="&amp;EOMONTH(D$5,0)))</f>
        <v>199</v>
      </c>
      <c r="E18" s="90" t="n">
        <f aca="false">IF($A18="","",SUMIFS(Expenses!$F$6:$F$805,Expenses!$D$6:$D$805,$A18,Expenses!$A$6:$A$805,"&gt;="&amp;E$5,Expenses!$A$6:$A$805,"&lt;="&amp;EOMONTH(E$5,0)))</f>
        <v>0</v>
      </c>
      <c r="F18" s="90" t="n">
        <f aca="false">IF($A18="","",SUMIFS(Expenses!$F$6:$F$805,Expenses!$D$6:$D$805,$A18,Expenses!$A$6:$A$805,"&gt;="&amp;F$5,Expenses!$A$6:$A$805,"&lt;="&amp;EOMONTH(F$5,0)))</f>
        <v>0</v>
      </c>
      <c r="G18" s="90" t="n">
        <f aca="false">IF($A18="","",SUMIFS(Expenses!$F$6:$F$805,Expenses!$D$6:$D$805,$A18,Expenses!$A$6:$A$805,"&gt;="&amp;G$5,Expenses!$A$6:$A$805,"&lt;="&amp;EOMONTH(G$5,0)))</f>
        <v>0</v>
      </c>
      <c r="H18" s="90" t="n">
        <f aca="false">IF($A18="","",SUMIFS(Expenses!$F$6:$F$805,Expenses!$D$6:$D$805,$A18,Expenses!$A$6:$A$805,"&gt;="&amp;H$5,Expenses!$A$6:$A$805,"&lt;="&amp;EOMONTH(H$5,0)))</f>
        <v>0</v>
      </c>
      <c r="I18" s="90" t="n">
        <f aca="false">IF($A18="","",SUMIFS(Expenses!$F$6:$F$805,Expenses!$D$6:$D$805,$A18,Expenses!$A$6:$A$805,"&gt;="&amp;I$5,Expenses!$A$6:$A$805,"&lt;="&amp;EOMONTH(I$5,0)))</f>
        <v>0</v>
      </c>
      <c r="J18" s="90" t="n">
        <f aca="false">IF($A18="","",SUMIFS(Expenses!$F$6:$F$805,Expenses!$D$6:$D$805,$A18,Expenses!$A$6:$A$805,"&gt;="&amp;J$5,Expenses!$A$6:$A$805,"&lt;="&amp;EOMONTH(J$5,0)))</f>
        <v>0</v>
      </c>
      <c r="K18" s="90" t="n">
        <f aca="false">IF($A18="","",SUMIFS(Expenses!$F$6:$F$805,Expenses!$D$6:$D$805,$A18,Expenses!$A$6:$A$805,"&gt;="&amp;K$5,Expenses!$A$6:$A$805,"&lt;="&amp;EOMONTH(K$5,0)))</f>
        <v>0</v>
      </c>
      <c r="L18" s="90" t="n">
        <f aca="false">IF($A18="","",SUMIFS(Expenses!$F$6:$F$805,Expenses!$D$6:$D$805,$A18,Expenses!$A$6:$A$805,"&gt;="&amp;L$5,Expenses!$A$6:$A$805,"&lt;="&amp;EOMONTH(L$5,0)))</f>
        <v>0</v>
      </c>
      <c r="M18" s="90" t="n">
        <f aca="false">IF($A18="","",SUMIFS(Expenses!$F$6:$F$805,Expenses!$D$6:$D$805,$A18,Expenses!$A$6:$A$805,"&gt;="&amp;M$5,Expenses!$A$6:$A$805,"&lt;="&amp;EOMONTH(M$5,0)))</f>
        <v>0</v>
      </c>
      <c r="N18" s="90" t="n">
        <f aca="false">IF($A18="","",SUMIFS(Expenses!$F$6:$F$805,Expenses!$D$6:$D$805,$A18,Expenses!$A$6:$A$805,"&gt;="&amp;N$5,Expenses!$A$6:$A$805,"&lt;="&amp;EOMONTH(N$5,0)))</f>
        <v>0</v>
      </c>
      <c r="O18" s="55" t="n">
        <f aca="false">IF($A18="","",SUM(C18:N18))</f>
        <v>199</v>
      </c>
      <c r="P18" s="35" t="n">
        <f aca="false">IF($A18="","",N(Settings!D28))</f>
        <v>25</v>
      </c>
      <c r="Q18" s="35" t="n">
        <f aca="false">IF($A18="","",P18*Dashboard!$P$5)</f>
        <v>225</v>
      </c>
      <c r="R18" s="35" t="n">
        <f aca="false">IF($A18="","",SUMIFS(Expenses!$F$6:$F$805,Expenses!$D$6:$D$805,$A18,Expenses!$A$6:$A$805,"&gt;="&amp;DATE(Settings!$C$5,1,1),Expenses!$A$6:$A$805,"&lt;="&amp;EOMONTH(DATE(Settings!$C$5,Dashboard!$P$5,1),0)))</f>
        <v>199</v>
      </c>
      <c r="S18" s="91" t="n">
        <f aca="false">IF($A18="","",Q18-R18)</f>
        <v>26</v>
      </c>
      <c r="T18" s="37" t="n">
        <f aca="false">IF(OR($A18="",N(Q18)=0),"",R18/Q18)</f>
        <v>0.884444444444445</v>
      </c>
      <c r="U18" s="38" t="str">
        <f aca="false">IF($A18="","",IF(N(Q18)=0,IF(N(R18)&gt;0,"No budget set",""),IF(R18&gt;Q18*1.05,"Over budget",IF(R18&gt;=Q18*0.9,"On budget","Under budget"))))</f>
        <v>Under budget</v>
      </c>
    </row>
    <row r="19" customFormat="false" ht="15" hidden="false" customHeight="false" outlineLevel="0" collapsed="false">
      <c r="A19" s="34" t="str">
        <f aca="false">IF(Settings!B29="","",Settings!B29)</f>
        <v>Paid ads</v>
      </c>
      <c r="B19" s="60" t="str">
        <f aca="false">IF(Settings!C29="","",Settings!C29)</f>
        <v>Marketing &amp; Advertising</v>
      </c>
      <c r="C19" s="90" t="n">
        <f aca="false">IF($A19="","",SUMIFS(Expenses!$F$6:$F$805,Expenses!$D$6:$D$805,$A19,Expenses!$A$6:$A$805,"&gt;="&amp;C$5,Expenses!$A$6:$A$805,"&lt;="&amp;EOMONTH(C$5,0)))</f>
        <v>450</v>
      </c>
      <c r="D19" s="90" t="n">
        <f aca="false">IF($A19="","",SUMIFS(Expenses!$F$6:$F$805,Expenses!$D$6:$D$805,$A19,Expenses!$A$6:$A$805,"&gt;="&amp;D$5,Expenses!$A$6:$A$805,"&lt;="&amp;EOMONTH(D$5,0)))</f>
        <v>300</v>
      </c>
      <c r="E19" s="90" t="n">
        <f aca="false">IF($A19="","",SUMIFS(Expenses!$F$6:$F$805,Expenses!$D$6:$D$805,$A19,Expenses!$A$6:$A$805,"&gt;="&amp;E$5,Expenses!$A$6:$A$805,"&lt;="&amp;EOMONTH(E$5,0)))</f>
        <v>450</v>
      </c>
      <c r="F19" s="90" t="n">
        <f aca="false">IF($A19="","",SUMIFS(Expenses!$F$6:$F$805,Expenses!$D$6:$D$805,$A19,Expenses!$A$6:$A$805,"&gt;="&amp;F$5,Expenses!$A$6:$A$805,"&lt;="&amp;EOMONTH(F$5,0)))</f>
        <v>450</v>
      </c>
      <c r="G19" s="90" t="n">
        <f aca="false">IF($A19="","",SUMIFS(Expenses!$F$6:$F$805,Expenses!$D$6:$D$805,$A19,Expenses!$A$6:$A$805,"&gt;="&amp;G$5,Expenses!$A$6:$A$805,"&lt;="&amp;EOMONTH(G$5,0)))</f>
        <v>500</v>
      </c>
      <c r="H19" s="90" t="n">
        <f aca="false">IF($A19="","",SUMIFS(Expenses!$F$6:$F$805,Expenses!$D$6:$D$805,$A19,Expenses!$A$6:$A$805,"&gt;="&amp;H$5,Expenses!$A$6:$A$805,"&lt;="&amp;EOMONTH(H$5,0)))</f>
        <v>600</v>
      </c>
      <c r="I19" s="90" t="n">
        <f aca="false">IF($A19="","",SUMIFS(Expenses!$F$6:$F$805,Expenses!$D$6:$D$805,$A19,Expenses!$A$6:$A$805,"&gt;="&amp;I$5,Expenses!$A$6:$A$805,"&lt;="&amp;EOMONTH(I$5,0)))</f>
        <v>450</v>
      </c>
      <c r="J19" s="90" t="n">
        <f aca="false">IF($A19="","",SUMIFS(Expenses!$F$6:$F$805,Expenses!$D$6:$D$805,$A19,Expenses!$A$6:$A$805,"&gt;="&amp;J$5,Expenses!$A$6:$A$805,"&lt;="&amp;EOMONTH(J$5,0)))</f>
        <v>450</v>
      </c>
      <c r="K19" s="90" t="n">
        <f aca="false">IF($A19="","",SUMIFS(Expenses!$F$6:$F$805,Expenses!$D$6:$D$805,$A19,Expenses!$A$6:$A$805,"&gt;="&amp;K$5,Expenses!$A$6:$A$805,"&lt;="&amp;EOMONTH(K$5,0)))</f>
        <v>600</v>
      </c>
      <c r="L19" s="90" t="n">
        <f aca="false">IF($A19="","",SUMIFS(Expenses!$F$6:$F$805,Expenses!$D$6:$D$805,$A19,Expenses!$A$6:$A$805,"&gt;="&amp;L$5,Expenses!$A$6:$A$805,"&lt;="&amp;EOMONTH(L$5,0)))</f>
        <v>0</v>
      </c>
      <c r="M19" s="90" t="n">
        <f aca="false">IF($A19="","",SUMIFS(Expenses!$F$6:$F$805,Expenses!$D$6:$D$805,$A19,Expenses!$A$6:$A$805,"&gt;="&amp;M$5,Expenses!$A$6:$A$805,"&lt;="&amp;EOMONTH(M$5,0)))</f>
        <v>0</v>
      </c>
      <c r="N19" s="90" t="n">
        <f aca="false">IF($A19="","",SUMIFS(Expenses!$F$6:$F$805,Expenses!$D$6:$D$805,$A19,Expenses!$A$6:$A$805,"&gt;="&amp;N$5,Expenses!$A$6:$A$805,"&lt;="&amp;EOMONTH(N$5,0)))</f>
        <v>0</v>
      </c>
      <c r="O19" s="55" t="n">
        <f aca="false">IF($A19="","",SUM(C19:N19))</f>
        <v>4250</v>
      </c>
      <c r="P19" s="35" t="n">
        <f aca="false">IF($A19="","",N(Settings!D29))</f>
        <v>450</v>
      </c>
      <c r="Q19" s="35" t="n">
        <f aca="false">IF($A19="","",P19*Dashboard!$P$5)</f>
        <v>4050</v>
      </c>
      <c r="R19" s="35" t="n">
        <f aca="false">IF($A19="","",SUMIFS(Expenses!$F$6:$F$805,Expenses!$D$6:$D$805,$A19,Expenses!$A$6:$A$805,"&gt;="&amp;DATE(Settings!$C$5,1,1),Expenses!$A$6:$A$805,"&lt;="&amp;EOMONTH(DATE(Settings!$C$5,Dashboard!$P$5,1),0)))</f>
        <v>4250</v>
      </c>
      <c r="S19" s="91" t="n">
        <f aca="false">IF($A19="","",Q19-R19)</f>
        <v>-200</v>
      </c>
      <c r="T19" s="37" t="n">
        <f aca="false">IF(OR($A19="",N(Q19)=0),"",R19/Q19)</f>
        <v>1.04938271604938</v>
      </c>
      <c r="U19" s="38" t="str">
        <f aca="false">IF($A19="","",IF(N(Q19)=0,IF(N(R19)&gt;0,"No budget set",""),IF(R19&gt;Q19*1.05,"Over budget",IF(R19&gt;=Q19*0.9,"On budget","Under budget"))))</f>
        <v>On budget</v>
      </c>
    </row>
    <row r="20" customFormat="false" ht="15" hidden="false" customHeight="false" outlineLevel="0" collapsed="false">
      <c r="A20" s="34" t="str">
        <f aca="false">IF(Settings!B30="","",Settings!B30)</f>
        <v>Website &amp; hosting</v>
      </c>
      <c r="B20" s="60" t="str">
        <f aca="false">IF(Settings!C30="","",Settings!C30)</f>
        <v>Marketing &amp; Advertising</v>
      </c>
      <c r="C20" s="90" t="n">
        <f aca="false">IF($A20="","",SUMIFS(Expenses!$F$6:$F$805,Expenses!$D$6:$D$805,$A20,Expenses!$A$6:$A$805,"&gt;="&amp;C$5,Expenses!$A$6:$A$805,"&lt;="&amp;EOMONTH(C$5,0)))</f>
        <v>59</v>
      </c>
      <c r="D20" s="90" t="n">
        <f aca="false">IF($A20="","",SUMIFS(Expenses!$F$6:$F$805,Expenses!$D$6:$D$805,$A20,Expenses!$A$6:$A$805,"&gt;="&amp;D$5,Expenses!$A$6:$A$805,"&lt;="&amp;EOMONTH(D$5,0)))</f>
        <v>39</v>
      </c>
      <c r="E20" s="90" t="n">
        <f aca="false">IF($A20="","",SUMIFS(Expenses!$F$6:$F$805,Expenses!$D$6:$D$805,$A20,Expenses!$A$6:$A$805,"&gt;="&amp;E$5,Expenses!$A$6:$A$805,"&lt;="&amp;EOMONTH(E$5,0)))</f>
        <v>39</v>
      </c>
      <c r="F20" s="90" t="n">
        <f aca="false">IF($A20="","",SUMIFS(Expenses!$F$6:$F$805,Expenses!$D$6:$D$805,$A20,Expenses!$A$6:$A$805,"&gt;="&amp;F$5,Expenses!$A$6:$A$805,"&lt;="&amp;EOMONTH(F$5,0)))</f>
        <v>39</v>
      </c>
      <c r="G20" s="90" t="n">
        <f aca="false">IF($A20="","",SUMIFS(Expenses!$F$6:$F$805,Expenses!$D$6:$D$805,$A20,Expenses!$A$6:$A$805,"&gt;="&amp;G$5,Expenses!$A$6:$A$805,"&lt;="&amp;EOMONTH(G$5,0)))</f>
        <v>39</v>
      </c>
      <c r="H20" s="90" t="n">
        <f aca="false">IF($A20="","",SUMIFS(Expenses!$F$6:$F$805,Expenses!$D$6:$D$805,$A20,Expenses!$A$6:$A$805,"&gt;="&amp;H$5,Expenses!$A$6:$A$805,"&lt;="&amp;EOMONTH(H$5,0)))</f>
        <v>39</v>
      </c>
      <c r="I20" s="90" t="n">
        <f aca="false">IF($A20="","",SUMIFS(Expenses!$F$6:$F$805,Expenses!$D$6:$D$805,$A20,Expenses!$A$6:$A$805,"&gt;="&amp;I$5,Expenses!$A$6:$A$805,"&lt;="&amp;EOMONTH(I$5,0)))</f>
        <v>39</v>
      </c>
      <c r="J20" s="90" t="n">
        <f aca="false">IF($A20="","",SUMIFS(Expenses!$F$6:$F$805,Expenses!$D$6:$D$805,$A20,Expenses!$A$6:$A$805,"&gt;="&amp;J$5,Expenses!$A$6:$A$805,"&lt;="&amp;EOMONTH(J$5,0)))</f>
        <v>39</v>
      </c>
      <c r="K20" s="90" t="n">
        <f aca="false">IF($A20="","",SUMIFS(Expenses!$F$6:$F$805,Expenses!$D$6:$D$805,$A20,Expenses!$A$6:$A$805,"&gt;="&amp;K$5,Expenses!$A$6:$A$805,"&lt;="&amp;EOMONTH(K$5,0)))</f>
        <v>39</v>
      </c>
      <c r="L20" s="90" t="n">
        <f aca="false">IF($A20="","",SUMIFS(Expenses!$F$6:$F$805,Expenses!$D$6:$D$805,$A20,Expenses!$A$6:$A$805,"&gt;="&amp;L$5,Expenses!$A$6:$A$805,"&lt;="&amp;EOMONTH(L$5,0)))</f>
        <v>0</v>
      </c>
      <c r="M20" s="90" t="n">
        <f aca="false">IF($A20="","",SUMIFS(Expenses!$F$6:$F$805,Expenses!$D$6:$D$805,$A20,Expenses!$A$6:$A$805,"&gt;="&amp;M$5,Expenses!$A$6:$A$805,"&lt;="&amp;EOMONTH(M$5,0)))</f>
        <v>0</v>
      </c>
      <c r="N20" s="90" t="n">
        <f aca="false">IF($A20="","",SUMIFS(Expenses!$F$6:$F$805,Expenses!$D$6:$D$805,$A20,Expenses!$A$6:$A$805,"&gt;="&amp;N$5,Expenses!$A$6:$A$805,"&lt;="&amp;EOMONTH(N$5,0)))</f>
        <v>0</v>
      </c>
      <c r="O20" s="55" t="n">
        <f aca="false">IF($A20="","",SUM(C20:N20))</f>
        <v>371</v>
      </c>
      <c r="P20" s="35" t="n">
        <f aca="false">IF($A20="","",N(Settings!D30))</f>
        <v>45</v>
      </c>
      <c r="Q20" s="35" t="n">
        <f aca="false">IF($A20="","",P20*Dashboard!$P$5)</f>
        <v>405</v>
      </c>
      <c r="R20" s="35" t="n">
        <f aca="false">IF($A20="","",SUMIFS(Expenses!$F$6:$F$805,Expenses!$D$6:$D$805,$A20,Expenses!$A$6:$A$805,"&gt;="&amp;DATE(Settings!$C$5,1,1),Expenses!$A$6:$A$805,"&lt;="&amp;EOMONTH(DATE(Settings!$C$5,Dashboard!$P$5,1),0)))</f>
        <v>371</v>
      </c>
      <c r="S20" s="91" t="n">
        <f aca="false">IF($A20="","",Q20-R20)</f>
        <v>34</v>
      </c>
      <c r="T20" s="37" t="n">
        <f aca="false">IF(OR($A20="",N(Q20)=0),"",R20/Q20)</f>
        <v>0.916049382716049</v>
      </c>
      <c r="U20" s="38" t="str">
        <f aca="false">IF($A20="","",IF(N(Q20)=0,IF(N(R20)&gt;0,"No budget set",""),IF(R20&gt;Q20*1.05,"Over budget",IF(R20&gt;=Q20*0.9,"On budget","Under budget"))))</f>
        <v>On budget</v>
      </c>
    </row>
    <row r="21" customFormat="false" ht="15" hidden="false" customHeight="false" outlineLevel="0" collapsed="false">
      <c r="A21" s="34" t="str">
        <f aca="false">IF(Settings!B31="","",Settings!B31)</f>
        <v>Print &amp; promo</v>
      </c>
      <c r="B21" s="60" t="str">
        <f aca="false">IF(Settings!C31="","",Settings!C31)</f>
        <v>Marketing &amp; Advertising</v>
      </c>
      <c r="C21" s="90" t="n">
        <f aca="false">IF($A21="","",SUMIFS(Expenses!$F$6:$F$805,Expenses!$D$6:$D$805,$A21,Expenses!$A$6:$A$805,"&gt;="&amp;C$5,Expenses!$A$6:$A$805,"&lt;="&amp;EOMONTH(C$5,0)))</f>
        <v>0</v>
      </c>
      <c r="D21" s="90" t="n">
        <f aca="false">IF($A21="","",SUMIFS(Expenses!$F$6:$F$805,Expenses!$D$6:$D$805,$A21,Expenses!$A$6:$A$805,"&gt;="&amp;D$5,Expenses!$A$6:$A$805,"&lt;="&amp;EOMONTH(D$5,0)))</f>
        <v>50</v>
      </c>
      <c r="E21" s="90" t="n">
        <f aca="false">IF($A21="","",SUMIFS(Expenses!$F$6:$F$805,Expenses!$D$6:$D$805,$A21,Expenses!$A$6:$A$805,"&gt;="&amp;E$5,Expenses!$A$6:$A$805,"&lt;="&amp;EOMONTH(E$5,0)))</f>
        <v>0</v>
      </c>
      <c r="F21" s="90" t="n">
        <f aca="false">IF($A21="","",SUMIFS(Expenses!$F$6:$F$805,Expenses!$D$6:$D$805,$A21,Expenses!$A$6:$A$805,"&gt;="&amp;F$5,Expenses!$A$6:$A$805,"&lt;="&amp;EOMONTH(F$5,0)))</f>
        <v>0</v>
      </c>
      <c r="G21" s="90" t="n">
        <f aca="false">IF($A21="","",SUMIFS(Expenses!$F$6:$F$805,Expenses!$D$6:$D$805,$A21,Expenses!$A$6:$A$805,"&gt;="&amp;G$5,Expenses!$A$6:$A$805,"&lt;="&amp;EOMONTH(G$5,0)))</f>
        <v>45</v>
      </c>
      <c r="H21" s="90" t="n">
        <f aca="false">IF($A21="","",SUMIFS(Expenses!$F$6:$F$805,Expenses!$D$6:$D$805,$A21,Expenses!$A$6:$A$805,"&gt;="&amp;H$5,Expenses!$A$6:$A$805,"&lt;="&amp;EOMONTH(H$5,0)))</f>
        <v>0</v>
      </c>
      <c r="I21" s="90" t="n">
        <f aca="false">IF($A21="","",SUMIFS(Expenses!$F$6:$F$805,Expenses!$D$6:$D$805,$A21,Expenses!$A$6:$A$805,"&gt;="&amp;I$5,Expenses!$A$6:$A$805,"&lt;="&amp;EOMONTH(I$5,0)))</f>
        <v>180</v>
      </c>
      <c r="J21" s="90" t="n">
        <f aca="false">IF($A21="","",SUMIFS(Expenses!$F$6:$F$805,Expenses!$D$6:$D$805,$A21,Expenses!$A$6:$A$805,"&gt;="&amp;J$5,Expenses!$A$6:$A$805,"&lt;="&amp;EOMONTH(J$5,0)))</f>
        <v>0</v>
      </c>
      <c r="K21" s="90" t="n">
        <f aca="false">IF($A21="","",SUMIFS(Expenses!$F$6:$F$805,Expenses!$D$6:$D$805,$A21,Expenses!$A$6:$A$805,"&gt;="&amp;K$5,Expenses!$A$6:$A$805,"&lt;="&amp;EOMONTH(K$5,0)))</f>
        <v>0</v>
      </c>
      <c r="L21" s="90" t="n">
        <f aca="false">IF($A21="","",SUMIFS(Expenses!$F$6:$F$805,Expenses!$D$6:$D$805,$A21,Expenses!$A$6:$A$805,"&gt;="&amp;L$5,Expenses!$A$6:$A$805,"&lt;="&amp;EOMONTH(L$5,0)))</f>
        <v>0</v>
      </c>
      <c r="M21" s="90" t="n">
        <f aca="false">IF($A21="","",SUMIFS(Expenses!$F$6:$F$805,Expenses!$D$6:$D$805,$A21,Expenses!$A$6:$A$805,"&gt;="&amp;M$5,Expenses!$A$6:$A$805,"&lt;="&amp;EOMONTH(M$5,0)))</f>
        <v>0</v>
      </c>
      <c r="N21" s="90" t="n">
        <f aca="false">IF($A21="","",SUMIFS(Expenses!$F$6:$F$805,Expenses!$D$6:$D$805,$A21,Expenses!$A$6:$A$805,"&gt;="&amp;N$5,Expenses!$A$6:$A$805,"&lt;="&amp;EOMONTH(N$5,0)))</f>
        <v>0</v>
      </c>
      <c r="O21" s="55" t="n">
        <f aca="false">IF($A21="","",SUM(C21:N21))</f>
        <v>275</v>
      </c>
      <c r="P21" s="35" t="n">
        <f aca="false">IF($A21="","",N(Settings!D31))</f>
        <v>50</v>
      </c>
      <c r="Q21" s="35" t="n">
        <f aca="false">IF($A21="","",P21*Dashboard!$P$5)</f>
        <v>450</v>
      </c>
      <c r="R21" s="35" t="n">
        <f aca="false">IF($A21="","",SUMIFS(Expenses!$F$6:$F$805,Expenses!$D$6:$D$805,$A21,Expenses!$A$6:$A$805,"&gt;="&amp;DATE(Settings!$C$5,1,1),Expenses!$A$6:$A$805,"&lt;="&amp;EOMONTH(DATE(Settings!$C$5,Dashboard!$P$5,1),0)))</f>
        <v>275</v>
      </c>
      <c r="S21" s="91" t="n">
        <f aca="false">IF($A21="","",Q21-R21)</f>
        <v>175</v>
      </c>
      <c r="T21" s="37" t="n">
        <f aca="false">IF(OR($A21="",N(Q21)=0),"",R21/Q21)</f>
        <v>0.611111111111111</v>
      </c>
      <c r="U21" s="38" t="str">
        <f aca="false">IF($A21="","",IF(N(Q21)=0,IF(N(R21)&gt;0,"No budget set",""),IF(R21&gt;Q21*1.05,"Over budget",IF(R21&gt;=Q21*0.9,"On budget","Under budget"))))</f>
        <v>Under budget</v>
      </c>
    </row>
    <row r="22" customFormat="false" ht="15" hidden="false" customHeight="false" outlineLevel="0" collapsed="false">
      <c r="A22" s="34" t="str">
        <f aca="false">IF(Settings!B32="","",Settings!B32)</f>
        <v>Events &amp; networking</v>
      </c>
      <c r="B22" s="60" t="str">
        <f aca="false">IF(Settings!C32="","",Settings!C32)</f>
        <v>Marketing &amp; Advertising</v>
      </c>
      <c r="C22" s="90" t="n">
        <f aca="false">IF($A22="","",SUMIFS(Expenses!$F$6:$F$805,Expenses!$D$6:$D$805,$A22,Expenses!$A$6:$A$805,"&gt;="&amp;C$5,Expenses!$A$6:$A$805,"&lt;="&amp;EOMONTH(C$5,0)))</f>
        <v>425</v>
      </c>
      <c r="D22" s="90" t="n">
        <f aca="false">IF($A22="","",SUMIFS(Expenses!$F$6:$F$805,Expenses!$D$6:$D$805,$A22,Expenses!$A$6:$A$805,"&gt;="&amp;D$5,Expenses!$A$6:$A$805,"&lt;="&amp;EOMONTH(D$5,0)))</f>
        <v>25</v>
      </c>
      <c r="E22" s="90" t="n">
        <f aca="false">IF($A22="","",SUMIFS(Expenses!$F$6:$F$805,Expenses!$D$6:$D$805,$A22,Expenses!$A$6:$A$805,"&gt;="&amp;E$5,Expenses!$A$6:$A$805,"&lt;="&amp;EOMONTH(E$5,0)))</f>
        <v>25</v>
      </c>
      <c r="F22" s="90" t="n">
        <f aca="false">IF($A22="","",SUMIFS(Expenses!$F$6:$F$805,Expenses!$D$6:$D$805,$A22,Expenses!$A$6:$A$805,"&gt;="&amp;F$5,Expenses!$A$6:$A$805,"&lt;="&amp;EOMONTH(F$5,0)))</f>
        <v>775</v>
      </c>
      <c r="G22" s="90" t="n">
        <f aca="false">IF($A22="","",SUMIFS(Expenses!$F$6:$F$805,Expenses!$D$6:$D$805,$A22,Expenses!$A$6:$A$805,"&gt;="&amp;G$5,Expenses!$A$6:$A$805,"&lt;="&amp;EOMONTH(G$5,0)))</f>
        <v>25</v>
      </c>
      <c r="H22" s="90" t="n">
        <f aca="false">IF($A22="","",SUMIFS(Expenses!$F$6:$F$805,Expenses!$D$6:$D$805,$A22,Expenses!$A$6:$A$805,"&gt;="&amp;H$5,Expenses!$A$6:$A$805,"&lt;="&amp;EOMONTH(H$5,0)))</f>
        <v>25</v>
      </c>
      <c r="I22" s="90" t="n">
        <f aca="false">IF($A22="","",SUMIFS(Expenses!$F$6:$F$805,Expenses!$D$6:$D$805,$A22,Expenses!$A$6:$A$805,"&gt;="&amp;I$5,Expenses!$A$6:$A$805,"&lt;="&amp;EOMONTH(I$5,0)))</f>
        <v>25</v>
      </c>
      <c r="J22" s="90" t="n">
        <f aca="false">IF($A22="","",SUMIFS(Expenses!$F$6:$F$805,Expenses!$D$6:$D$805,$A22,Expenses!$A$6:$A$805,"&gt;="&amp;J$5,Expenses!$A$6:$A$805,"&lt;="&amp;EOMONTH(J$5,0)))</f>
        <v>25</v>
      </c>
      <c r="K22" s="90" t="n">
        <f aca="false">IF($A22="","",SUMIFS(Expenses!$F$6:$F$805,Expenses!$D$6:$D$805,$A22,Expenses!$A$6:$A$805,"&gt;="&amp;K$5,Expenses!$A$6:$A$805,"&lt;="&amp;EOMONTH(K$5,0)))</f>
        <v>25</v>
      </c>
      <c r="L22" s="90" t="n">
        <f aca="false">IF($A22="","",SUMIFS(Expenses!$F$6:$F$805,Expenses!$D$6:$D$805,$A22,Expenses!$A$6:$A$805,"&gt;="&amp;L$5,Expenses!$A$6:$A$805,"&lt;="&amp;EOMONTH(L$5,0)))</f>
        <v>0</v>
      </c>
      <c r="M22" s="90" t="n">
        <f aca="false">IF($A22="","",SUMIFS(Expenses!$F$6:$F$805,Expenses!$D$6:$D$805,$A22,Expenses!$A$6:$A$805,"&gt;="&amp;M$5,Expenses!$A$6:$A$805,"&lt;="&amp;EOMONTH(M$5,0)))</f>
        <v>0</v>
      </c>
      <c r="N22" s="90" t="n">
        <f aca="false">IF($A22="","",SUMIFS(Expenses!$F$6:$F$805,Expenses!$D$6:$D$805,$A22,Expenses!$A$6:$A$805,"&gt;="&amp;N$5,Expenses!$A$6:$A$805,"&lt;="&amp;EOMONTH(N$5,0)))</f>
        <v>0</v>
      </c>
      <c r="O22" s="55" t="n">
        <f aca="false">IF($A22="","",SUM(C22:N22))</f>
        <v>1375</v>
      </c>
      <c r="P22" s="35" t="n">
        <f aca="false">IF($A22="","",N(Settings!D32))</f>
        <v>120</v>
      </c>
      <c r="Q22" s="35" t="n">
        <f aca="false">IF($A22="","",P22*Dashboard!$P$5)</f>
        <v>1080</v>
      </c>
      <c r="R22" s="35" t="n">
        <f aca="false">IF($A22="","",SUMIFS(Expenses!$F$6:$F$805,Expenses!$D$6:$D$805,$A22,Expenses!$A$6:$A$805,"&gt;="&amp;DATE(Settings!$C$5,1,1),Expenses!$A$6:$A$805,"&lt;="&amp;EOMONTH(DATE(Settings!$C$5,Dashboard!$P$5,1),0)))</f>
        <v>1375</v>
      </c>
      <c r="S22" s="91" t="n">
        <f aca="false">IF($A22="","",Q22-R22)</f>
        <v>-295</v>
      </c>
      <c r="T22" s="37" t="n">
        <f aca="false">IF(OR($A22="",N(Q22)=0),"",R22/Q22)</f>
        <v>1.27314814814815</v>
      </c>
      <c r="U22" s="38" t="str">
        <f aca="false">IF($A22="","",IF(N(Q22)=0,IF(N(R22)&gt;0,"No budget set",""),IF(R22&gt;Q22*1.05,"Over budget",IF(R22&gt;=Q22*0.9,"On budget","Under budget"))))</f>
        <v>Over budget</v>
      </c>
    </row>
    <row r="23" customFormat="false" ht="15" hidden="false" customHeight="false" outlineLevel="0" collapsed="false">
      <c r="A23" s="34" t="str">
        <f aca="false">IF(Settings!B33="","",Settings!B33)</f>
        <v>Content &amp; design</v>
      </c>
      <c r="B23" s="60" t="str">
        <f aca="false">IF(Settings!C33="","",Settings!C33)</f>
        <v>Marketing &amp; Advertising</v>
      </c>
      <c r="C23" s="90" t="n">
        <f aca="false">IF($A23="","",SUMIFS(Expenses!$F$6:$F$805,Expenses!$D$6:$D$805,$A23,Expenses!$A$6:$A$805,"&gt;="&amp;C$5,Expenses!$A$6:$A$805,"&lt;="&amp;EOMONTH(C$5,0)))</f>
        <v>29</v>
      </c>
      <c r="D23" s="90" t="n">
        <f aca="false">IF($A23="","",SUMIFS(Expenses!$F$6:$F$805,Expenses!$D$6:$D$805,$A23,Expenses!$A$6:$A$805,"&gt;="&amp;D$5,Expenses!$A$6:$A$805,"&lt;="&amp;EOMONTH(D$5,0)))</f>
        <v>29</v>
      </c>
      <c r="E23" s="90" t="n">
        <f aca="false">IF($A23="","",SUMIFS(Expenses!$F$6:$F$805,Expenses!$D$6:$D$805,$A23,Expenses!$A$6:$A$805,"&gt;="&amp;E$5,Expenses!$A$6:$A$805,"&lt;="&amp;EOMONTH(E$5,0)))</f>
        <v>29</v>
      </c>
      <c r="F23" s="90" t="n">
        <f aca="false">IF($A23="","",SUMIFS(Expenses!$F$6:$F$805,Expenses!$D$6:$D$805,$A23,Expenses!$A$6:$A$805,"&gt;="&amp;F$5,Expenses!$A$6:$A$805,"&lt;="&amp;EOMONTH(F$5,0)))</f>
        <v>29</v>
      </c>
      <c r="G23" s="90" t="n">
        <f aca="false">IF($A23="","",SUMIFS(Expenses!$F$6:$F$805,Expenses!$D$6:$D$805,$A23,Expenses!$A$6:$A$805,"&gt;="&amp;G$5,Expenses!$A$6:$A$805,"&lt;="&amp;EOMONTH(G$5,0)))</f>
        <v>29</v>
      </c>
      <c r="H23" s="90" t="n">
        <f aca="false">IF($A23="","",SUMIFS(Expenses!$F$6:$F$805,Expenses!$D$6:$D$805,$A23,Expenses!$A$6:$A$805,"&gt;="&amp;H$5,Expenses!$A$6:$A$805,"&lt;="&amp;EOMONTH(H$5,0)))</f>
        <v>29</v>
      </c>
      <c r="I23" s="90" t="n">
        <f aca="false">IF($A23="","",SUMIFS(Expenses!$F$6:$F$805,Expenses!$D$6:$D$805,$A23,Expenses!$A$6:$A$805,"&gt;="&amp;I$5,Expenses!$A$6:$A$805,"&lt;="&amp;EOMONTH(I$5,0)))</f>
        <v>29</v>
      </c>
      <c r="J23" s="90" t="n">
        <f aca="false">IF($A23="","",SUMIFS(Expenses!$F$6:$F$805,Expenses!$D$6:$D$805,$A23,Expenses!$A$6:$A$805,"&gt;="&amp;J$5,Expenses!$A$6:$A$805,"&lt;="&amp;EOMONTH(J$5,0)))</f>
        <v>29</v>
      </c>
      <c r="K23" s="90" t="n">
        <f aca="false">IF($A23="","",SUMIFS(Expenses!$F$6:$F$805,Expenses!$D$6:$D$805,$A23,Expenses!$A$6:$A$805,"&gt;="&amp;K$5,Expenses!$A$6:$A$805,"&lt;="&amp;EOMONTH(K$5,0)))</f>
        <v>29</v>
      </c>
      <c r="L23" s="90" t="n">
        <f aca="false">IF($A23="","",SUMIFS(Expenses!$F$6:$F$805,Expenses!$D$6:$D$805,$A23,Expenses!$A$6:$A$805,"&gt;="&amp;L$5,Expenses!$A$6:$A$805,"&lt;="&amp;EOMONTH(L$5,0)))</f>
        <v>0</v>
      </c>
      <c r="M23" s="90" t="n">
        <f aca="false">IF($A23="","",SUMIFS(Expenses!$F$6:$F$805,Expenses!$D$6:$D$805,$A23,Expenses!$A$6:$A$805,"&gt;="&amp;M$5,Expenses!$A$6:$A$805,"&lt;="&amp;EOMONTH(M$5,0)))</f>
        <v>0</v>
      </c>
      <c r="N23" s="90" t="n">
        <f aca="false">IF($A23="","",SUMIFS(Expenses!$F$6:$F$805,Expenses!$D$6:$D$805,$A23,Expenses!$A$6:$A$805,"&gt;="&amp;N$5,Expenses!$A$6:$A$805,"&lt;="&amp;EOMONTH(N$5,0)))</f>
        <v>0</v>
      </c>
      <c r="O23" s="55" t="n">
        <f aca="false">IF($A23="","",SUM(C23:N23))</f>
        <v>261</v>
      </c>
      <c r="P23" s="35" t="n">
        <f aca="false">IF($A23="","",N(Settings!D33))</f>
        <v>30</v>
      </c>
      <c r="Q23" s="35" t="n">
        <f aca="false">IF($A23="","",P23*Dashboard!$P$5)</f>
        <v>270</v>
      </c>
      <c r="R23" s="35" t="n">
        <f aca="false">IF($A23="","",SUMIFS(Expenses!$F$6:$F$805,Expenses!$D$6:$D$805,$A23,Expenses!$A$6:$A$805,"&gt;="&amp;DATE(Settings!$C$5,1,1),Expenses!$A$6:$A$805,"&lt;="&amp;EOMONTH(DATE(Settings!$C$5,Dashboard!$P$5,1),0)))</f>
        <v>261</v>
      </c>
      <c r="S23" s="91" t="n">
        <f aca="false">IF($A23="","",Q23-R23)</f>
        <v>9</v>
      </c>
      <c r="T23" s="37" t="n">
        <f aca="false">IF(OR($A23="",N(Q23)=0),"",R23/Q23)</f>
        <v>0.966666666666667</v>
      </c>
      <c r="U23" s="38" t="str">
        <f aca="false">IF($A23="","",IF(N(Q23)=0,IF(N(R23)&gt;0,"No budget set",""),IF(R23&gt;Q23*1.05,"Over budget",IF(R23&gt;=Q23*0.9,"On budget","Under budget"))))</f>
        <v>On budget</v>
      </c>
    </row>
    <row r="24" customFormat="false" ht="15" hidden="false" customHeight="false" outlineLevel="0" collapsed="false">
      <c r="A24" s="34" t="str">
        <f aca="false">IF(Settings!B34="","",Settings!B34)</f>
        <v>Freelance design</v>
      </c>
      <c r="B24" s="60" t="str">
        <f aca="false">IF(Settings!C34="","",Settings!C34)</f>
        <v>Contractors &amp; Vendors</v>
      </c>
      <c r="C24" s="90" t="n">
        <f aca="false">IF($A24="","",SUMIFS(Expenses!$F$6:$F$805,Expenses!$D$6:$D$805,$A24,Expenses!$A$6:$A$805,"&gt;="&amp;C$5,Expenses!$A$6:$A$805,"&lt;="&amp;EOMONTH(C$5,0)))</f>
        <v>250</v>
      </c>
      <c r="D24" s="90" t="n">
        <f aca="false">IF($A24="","",SUMIFS(Expenses!$F$6:$F$805,Expenses!$D$6:$D$805,$A24,Expenses!$A$6:$A$805,"&gt;="&amp;D$5,Expenses!$A$6:$A$805,"&lt;="&amp;EOMONTH(D$5,0)))</f>
        <v>0</v>
      </c>
      <c r="E24" s="90" t="n">
        <f aca="false">IF($A24="","",SUMIFS(Expenses!$F$6:$F$805,Expenses!$D$6:$D$805,$A24,Expenses!$A$6:$A$805,"&gt;="&amp;E$5,Expenses!$A$6:$A$805,"&lt;="&amp;EOMONTH(E$5,0)))</f>
        <v>0</v>
      </c>
      <c r="F24" s="90" t="n">
        <f aca="false">IF($A24="","",SUMIFS(Expenses!$F$6:$F$805,Expenses!$D$6:$D$805,$A24,Expenses!$A$6:$A$805,"&gt;="&amp;F$5,Expenses!$A$6:$A$805,"&lt;="&amp;EOMONTH(F$5,0)))</f>
        <v>250</v>
      </c>
      <c r="G24" s="90" t="n">
        <f aca="false">IF($A24="","",SUMIFS(Expenses!$F$6:$F$805,Expenses!$D$6:$D$805,$A24,Expenses!$A$6:$A$805,"&gt;="&amp;G$5,Expenses!$A$6:$A$805,"&lt;="&amp;EOMONTH(G$5,0)))</f>
        <v>0</v>
      </c>
      <c r="H24" s="90" t="n">
        <f aca="false">IF($A24="","",SUMIFS(Expenses!$F$6:$F$805,Expenses!$D$6:$D$805,$A24,Expenses!$A$6:$A$805,"&gt;="&amp;H$5,Expenses!$A$6:$A$805,"&lt;="&amp;EOMONTH(H$5,0)))</f>
        <v>250</v>
      </c>
      <c r="I24" s="90" t="n">
        <f aca="false">IF($A24="","",SUMIFS(Expenses!$F$6:$F$805,Expenses!$D$6:$D$805,$A24,Expenses!$A$6:$A$805,"&gt;="&amp;I$5,Expenses!$A$6:$A$805,"&lt;="&amp;EOMONTH(I$5,0)))</f>
        <v>0</v>
      </c>
      <c r="J24" s="90" t="n">
        <f aca="false">IF($A24="","",SUMIFS(Expenses!$F$6:$F$805,Expenses!$D$6:$D$805,$A24,Expenses!$A$6:$A$805,"&gt;="&amp;J$5,Expenses!$A$6:$A$805,"&lt;="&amp;EOMONTH(J$5,0)))</f>
        <v>250</v>
      </c>
      <c r="K24" s="90" t="n">
        <f aca="false">IF($A24="","",SUMIFS(Expenses!$F$6:$F$805,Expenses!$D$6:$D$805,$A24,Expenses!$A$6:$A$805,"&gt;="&amp;K$5,Expenses!$A$6:$A$805,"&lt;="&amp;EOMONTH(K$5,0)))</f>
        <v>0</v>
      </c>
      <c r="L24" s="90" t="n">
        <f aca="false">IF($A24="","",SUMIFS(Expenses!$F$6:$F$805,Expenses!$D$6:$D$805,$A24,Expenses!$A$6:$A$805,"&gt;="&amp;L$5,Expenses!$A$6:$A$805,"&lt;="&amp;EOMONTH(L$5,0)))</f>
        <v>0</v>
      </c>
      <c r="M24" s="90" t="n">
        <f aca="false">IF($A24="","",SUMIFS(Expenses!$F$6:$F$805,Expenses!$D$6:$D$805,$A24,Expenses!$A$6:$A$805,"&gt;="&amp;M$5,Expenses!$A$6:$A$805,"&lt;="&amp;EOMONTH(M$5,0)))</f>
        <v>0</v>
      </c>
      <c r="N24" s="90" t="n">
        <f aca="false">IF($A24="","",SUMIFS(Expenses!$F$6:$F$805,Expenses!$D$6:$D$805,$A24,Expenses!$A$6:$A$805,"&gt;="&amp;N$5,Expenses!$A$6:$A$805,"&lt;="&amp;EOMONTH(N$5,0)))</f>
        <v>0</v>
      </c>
      <c r="O24" s="55" t="n">
        <f aca="false">IF($A24="","",SUM(C24:N24))</f>
        <v>1000</v>
      </c>
      <c r="P24" s="35" t="n">
        <f aca="false">IF($A24="","",N(Settings!D34))</f>
        <v>125</v>
      </c>
      <c r="Q24" s="35" t="n">
        <f aca="false">IF($A24="","",P24*Dashboard!$P$5)</f>
        <v>1125</v>
      </c>
      <c r="R24" s="35" t="n">
        <f aca="false">IF($A24="","",SUMIFS(Expenses!$F$6:$F$805,Expenses!$D$6:$D$805,$A24,Expenses!$A$6:$A$805,"&gt;="&amp;DATE(Settings!$C$5,1,1),Expenses!$A$6:$A$805,"&lt;="&amp;EOMONTH(DATE(Settings!$C$5,Dashboard!$P$5,1),0)))</f>
        <v>1000</v>
      </c>
      <c r="S24" s="91" t="n">
        <f aca="false">IF($A24="","",Q24-R24)</f>
        <v>125</v>
      </c>
      <c r="T24" s="37" t="n">
        <f aca="false">IF(OR($A24="",N(Q24)=0),"",R24/Q24)</f>
        <v>0.888888888888889</v>
      </c>
      <c r="U24" s="38" t="str">
        <f aca="false">IF($A24="","",IF(N(Q24)=0,IF(N(R24)&gt;0,"No budget set",""),IF(R24&gt;Q24*1.05,"Over budget",IF(R24&gt;=Q24*0.9,"On budget","Under budget"))))</f>
        <v>Under budget</v>
      </c>
    </row>
    <row r="25" customFormat="false" ht="15" hidden="false" customHeight="false" outlineLevel="0" collapsed="false">
      <c r="A25" s="34" t="str">
        <f aca="false">IF(Settings!B35="","",Settings!B35)</f>
        <v>Web development</v>
      </c>
      <c r="B25" s="60" t="str">
        <f aca="false">IF(Settings!C35="","",Settings!C35)</f>
        <v>Contractors &amp; Vendors</v>
      </c>
      <c r="C25" s="90" t="n">
        <f aca="false">IF($A25="","",SUMIFS(Expenses!$F$6:$F$805,Expenses!$D$6:$D$805,$A25,Expenses!$A$6:$A$805,"&gt;="&amp;C$5,Expenses!$A$6:$A$805,"&lt;="&amp;EOMONTH(C$5,0)))</f>
        <v>0</v>
      </c>
      <c r="D25" s="90" t="n">
        <f aca="false">IF($A25="","",SUMIFS(Expenses!$F$6:$F$805,Expenses!$D$6:$D$805,$A25,Expenses!$A$6:$A$805,"&gt;="&amp;D$5,Expenses!$A$6:$A$805,"&lt;="&amp;EOMONTH(D$5,0)))</f>
        <v>0</v>
      </c>
      <c r="E25" s="90" t="n">
        <f aca="false">IF($A25="","",SUMIFS(Expenses!$F$6:$F$805,Expenses!$D$6:$D$805,$A25,Expenses!$A$6:$A$805,"&gt;="&amp;E$5,Expenses!$A$6:$A$805,"&lt;="&amp;EOMONTH(E$5,0)))</f>
        <v>1500</v>
      </c>
      <c r="F25" s="90" t="n">
        <f aca="false">IF($A25="","",SUMIFS(Expenses!$F$6:$F$805,Expenses!$D$6:$D$805,$A25,Expenses!$A$6:$A$805,"&gt;="&amp;F$5,Expenses!$A$6:$A$805,"&lt;="&amp;EOMONTH(F$5,0)))</f>
        <v>1500</v>
      </c>
      <c r="G25" s="90" t="n">
        <f aca="false">IF($A25="","",SUMIFS(Expenses!$F$6:$F$805,Expenses!$D$6:$D$805,$A25,Expenses!$A$6:$A$805,"&gt;="&amp;G$5,Expenses!$A$6:$A$805,"&lt;="&amp;EOMONTH(G$5,0)))</f>
        <v>0</v>
      </c>
      <c r="H25" s="90" t="n">
        <f aca="false">IF($A25="","",SUMIFS(Expenses!$F$6:$F$805,Expenses!$D$6:$D$805,$A25,Expenses!$A$6:$A$805,"&gt;="&amp;H$5,Expenses!$A$6:$A$805,"&lt;="&amp;EOMONTH(H$5,0)))</f>
        <v>0</v>
      </c>
      <c r="I25" s="90" t="n">
        <f aca="false">IF($A25="","",SUMIFS(Expenses!$F$6:$F$805,Expenses!$D$6:$D$805,$A25,Expenses!$A$6:$A$805,"&gt;="&amp;I$5,Expenses!$A$6:$A$805,"&lt;="&amp;EOMONTH(I$5,0)))</f>
        <v>0</v>
      </c>
      <c r="J25" s="90" t="n">
        <f aca="false">IF($A25="","",SUMIFS(Expenses!$F$6:$F$805,Expenses!$D$6:$D$805,$A25,Expenses!$A$6:$A$805,"&gt;="&amp;J$5,Expenses!$A$6:$A$805,"&lt;="&amp;EOMONTH(J$5,0)))</f>
        <v>500</v>
      </c>
      <c r="K25" s="90" t="n">
        <f aca="false">IF($A25="","",SUMIFS(Expenses!$F$6:$F$805,Expenses!$D$6:$D$805,$A25,Expenses!$A$6:$A$805,"&gt;="&amp;K$5,Expenses!$A$6:$A$805,"&lt;="&amp;EOMONTH(K$5,0)))</f>
        <v>0</v>
      </c>
      <c r="L25" s="90" t="n">
        <f aca="false">IF($A25="","",SUMIFS(Expenses!$F$6:$F$805,Expenses!$D$6:$D$805,$A25,Expenses!$A$6:$A$805,"&gt;="&amp;L$5,Expenses!$A$6:$A$805,"&lt;="&amp;EOMONTH(L$5,0)))</f>
        <v>0</v>
      </c>
      <c r="M25" s="90" t="n">
        <f aca="false">IF($A25="","",SUMIFS(Expenses!$F$6:$F$805,Expenses!$D$6:$D$805,$A25,Expenses!$A$6:$A$805,"&gt;="&amp;M$5,Expenses!$A$6:$A$805,"&lt;="&amp;EOMONTH(M$5,0)))</f>
        <v>0</v>
      </c>
      <c r="N25" s="90" t="n">
        <f aca="false">IF($A25="","",SUMIFS(Expenses!$F$6:$F$805,Expenses!$D$6:$D$805,$A25,Expenses!$A$6:$A$805,"&gt;="&amp;N$5,Expenses!$A$6:$A$805,"&lt;="&amp;EOMONTH(N$5,0)))</f>
        <v>0</v>
      </c>
      <c r="O25" s="55" t="n">
        <f aca="false">IF($A25="","",SUM(C25:N25))</f>
        <v>3500</v>
      </c>
      <c r="P25" s="35" t="n">
        <f aca="false">IF($A25="","",N(Settings!D35))</f>
        <v>300</v>
      </c>
      <c r="Q25" s="35" t="n">
        <f aca="false">IF($A25="","",P25*Dashboard!$P$5)</f>
        <v>2700</v>
      </c>
      <c r="R25" s="35" t="n">
        <f aca="false">IF($A25="","",SUMIFS(Expenses!$F$6:$F$805,Expenses!$D$6:$D$805,$A25,Expenses!$A$6:$A$805,"&gt;="&amp;DATE(Settings!$C$5,1,1),Expenses!$A$6:$A$805,"&lt;="&amp;EOMONTH(DATE(Settings!$C$5,Dashboard!$P$5,1),0)))</f>
        <v>3500</v>
      </c>
      <c r="S25" s="91" t="n">
        <f aca="false">IF($A25="","",Q25-R25)</f>
        <v>-800</v>
      </c>
      <c r="T25" s="37" t="n">
        <f aca="false">IF(OR($A25="",N(Q25)=0),"",R25/Q25)</f>
        <v>1.2962962962963</v>
      </c>
      <c r="U25" s="38" t="str">
        <f aca="false">IF($A25="","",IF(N(Q25)=0,IF(N(R25)&gt;0,"No budget set",""),IF(R25&gt;Q25*1.05,"Over budget",IF(R25&gt;=Q25*0.9,"On budget","Under budget"))))</f>
        <v>Over budget</v>
      </c>
    </row>
    <row r="26" customFormat="false" ht="15" hidden="false" customHeight="false" outlineLevel="0" collapsed="false">
      <c r="A26" s="34" t="str">
        <f aca="false">IF(Settings!B36="","",Settings!B36)</f>
        <v>Writers &amp; content</v>
      </c>
      <c r="B26" s="60" t="str">
        <f aca="false">IF(Settings!C36="","",Settings!C36)</f>
        <v>Contractors &amp; Vendors</v>
      </c>
      <c r="C26" s="90" t="n">
        <f aca="false">IF($A26="","",SUMIFS(Expenses!$F$6:$F$805,Expenses!$D$6:$D$805,$A26,Expenses!$A$6:$A$805,"&gt;="&amp;C$5,Expenses!$A$6:$A$805,"&lt;="&amp;EOMONTH(C$5,0)))</f>
        <v>100</v>
      </c>
      <c r="D26" s="90" t="n">
        <f aca="false">IF($A26="","",SUMIFS(Expenses!$F$6:$F$805,Expenses!$D$6:$D$805,$A26,Expenses!$A$6:$A$805,"&gt;="&amp;D$5,Expenses!$A$6:$A$805,"&lt;="&amp;EOMONTH(D$5,0)))</f>
        <v>100</v>
      </c>
      <c r="E26" s="90" t="n">
        <f aca="false">IF($A26="","",SUMIFS(Expenses!$F$6:$F$805,Expenses!$D$6:$D$805,$A26,Expenses!$A$6:$A$805,"&gt;="&amp;E$5,Expenses!$A$6:$A$805,"&lt;="&amp;EOMONTH(E$5,0)))</f>
        <v>100</v>
      </c>
      <c r="F26" s="90" t="n">
        <f aca="false">IF($A26="","",SUMIFS(Expenses!$F$6:$F$805,Expenses!$D$6:$D$805,$A26,Expenses!$A$6:$A$805,"&gt;="&amp;F$5,Expenses!$A$6:$A$805,"&lt;="&amp;EOMONTH(F$5,0)))</f>
        <v>100</v>
      </c>
      <c r="G26" s="90" t="n">
        <f aca="false">IF($A26="","",SUMIFS(Expenses!$F$6:$F$805,Expenses!$D$6:$D$805,$A26,Expenses!$A$6:$A$805,"&gt;="&amp;G$5,Expenses!$A$6:$A$805,"&lt;="&amp;EOMONTH(G$5,0)))</f>
        <v>100</v>
      </c>
      <c r="H26" s="90" t="n">
        <f aca="false">IF($A26="","",SUMIFS(Expenses!$F$6:$F$805,Expenses!$D$6:$D$805,$A26,Expenses!$A$6:$A$805,"&gt;="&amp;H$5,Expenses!$A$6:$A$805,"&lt;="&amp;EOMONTH(H$5,0)))</f>
        <v>100</v>
      </c>
      <c r="I26" s="90" t="n">
        <f aca="false">IF($A26="","",SUMIFS(Expenses!$F$6:$F$805,Expenses!$D$6:$D$805,$A26,Expenses!$A$6:$A$805,"&gt;="&amp;I$5,Expenses!$A$6:$A$805,"&lt;="&amp;EOMONTH(I$5,0)))</f>
        <v>100</v>
      </c>
      <c r="J26" s="90" t="n">
        <f aca="false">IF($A26="","",SUMIFS(Expenses!$F$6:$F$805,Expenses!$D$6:$D$805,$A26,Expenses!$A$6:$A$805,"&gt;="&amp;J$5,Expenses!$A$6:$A$805,"&lt;="&amp;EOMONTH(J$5,0)))</f>
        <v>100</v>
      </c>
      <c r="K26" s="90" t="n">
        <f aca="false">IF($A26="","",SUMIFS(Expenses!$F$6:$F$805,Expenses!$D$6:$D$805,$A26,Expenses!$A$6:$A$805,"&gt;="&amp;K$5,Expenses!$A$6:$A$805,"&lt;="&amp;EOMONTH(K$5,0)))</f>
        <v>100</v>
      </c>
      <c r="L26" s="90" t="n">
        <f aca="false">IF($A26="","",SUMIFS(Expenses!$F$6:$F$805,Expenses!$D$6:$D$805,$A26,Expenses!$A$6:$A$805,"&gt;="&amp;L$5,Expenses!$A$6:$A$805,"&lt;="&amp;EOMONTH(L$5,0)))</f>
        <v>0</v>
      </c>
      <c r="M26" s="90" t="n">
        <f aca="false">IF($A26="","",SUMIFS(Expenses!$F$6:$F$805,Expenses!$D$6:$D$805,$A26,Expenses!$A$6:$A$805,"&gt;="&amp;M$5,Expenses!$A$6:$A$805,"&lt;="&amp;EOMONTH(M$5,0)))</f>
        <v>0</v>
      </c>
      <c r="N26" s="90" t="n">
        <f aca="false">IF($A26="","",SUMIFS(Expenses!$F$6:$F$805,Expenses!$D$6:$D$805,$A26,Expenses!$A$6:$A$805,"&gt;="&amp;N$5,Expenses!$A$6:$A$805,"&lt;="&amp;EOMONTH(N$5,0)))</f>
        <v>0</v>
      </c>
      <c r="O26" s="55" t="n">
        <f aca="false">IF($A26="","",SUM(C26:N26))</f>
        <v>900</v>
      </c>
      <c r="P26" s="35" t="n">
        <f aca="false">IF($A26="","",N(Settings!D36))</f>
        <v>100</v>
      </c>
      <c r="Q26" s="35" t="n">
        <f aca="false">IF($A26="","",P26*Dashboard!$P$5)</f>
        <v>900</v>
      </c>
      <c r="R26" s="35" t="n">
        <f aca="false">IF($A26="","",SUMIFS(Expenses!$F$6:$F$805,Expenses!$D$6:$D$805,$A26,Expenses!$A$6:$A$805,"&gt;="&amp;DATE(Settings!$C$5,1,1),Expenses!$A$6:$A$805,"&lt;="&amp;EOMONTH(DATE(Settings!$C$5,Dashboard!$P$5,1),0)))</f>
        <v>900</v>
      </c>
      <c r="S26" s="91" t="n">
        <f aca="false">IF($A26="","",Q26-R26)</f>
        <v>0</v>
      </c>
      <c r="T26" s="37" t="n">
        <f aca="false">IF(OR($A26="",N(Q26)=0),"",R26/Q26)</f>
        <v>1</v>
      </c>
      <c r="U26" s="38" t="str">
        <f aca="false">IF($A26="","",IF(N(Q26)=0,IF(N(R26)&gt;0,"No budget set",""),IF(R26&gt;Q26*1.05,"Over budget",IF(R26&gt;=Q26*0.9,"On budget","Under budget"))))</f>
        <v>On budget</v>
      </c>
    </row>
    <row r="27" customFormat="false" ht="15" hidden="false" customHeight="false" outlineLevel="0" collapsed="false">
      <c r="A27" s="34" t="str">
        <f aca="false">IF(Settings!B37="","",Settings!B37)</f>
        <v>Virtual assistant</v>
      </c>
      <c r="B27" s="60" t="str">
        <f aca="false">IF(Settings!C37="","",Settings!C37)</f>
        <v>Contractors &amp; Vendors</v>
      </c>
      <c r="C27" s="90" t="n">
        <f aca="false">IF($A27="","",SUMIFS(Expenses!$F$6:$F$805,Expenses!$D$6:$D$805,$A27,Expenses!$A$6:$A$805,"&gt;="&amp;C$5,Expenses!$A$6:$A$805,"&lt;="&amp;EOMONTH(C$5,0)))</f>
        <v>350</v>
      </c>
      <c r="D27" s="90" t="n">
        <f aca="false">IF($A27="","",SUMIFS(Expenses!$F$6:$F$805,Expenses!$D$6:$D$805,$A27,Expenses!$A$6:$A$805,"&gt;="&amp;D$5,Expenses!$A$6:$A$805,"&lt;="&amp;EOMONTH(D$5,0)))</f>
        <v>350</v>
      </c>
      <c r="E27" s="90" t="n">
        <f aca="false">IF($A27="","",SUMIFS(Expenses!$F$6:$F$805,Expenses!$D$6:$D$805,$A27,Expenses!$A$6:$A$805,"&gt;="&amp;E$5,Expenses!$A$6:$A$805,"&lt;="&amp;EOMONTH(E$5,0)))</f>
        <v>350</v>
      </c>
      <c r="F27" s="90" t="n">
        <f aca="false">IF($A27="","",SUMIFS(Expenses!$F$6:$F$805,Expenses!$D$6:$D$805,$A27,Expenses!$A$6:$A$805,"&gt;="&amp;F$5,Expenses!$A$6:$A$805,"&lt;="&amp;EOMONTH(F$5,0)))</f>
        <v>350</v>
      </c>
      <c r="G27" s="90" t="n">
        <f aca="false">IF($A27="","",SUMIFS(Expenses!$F$6:$F$805,Expenses!$D$6:$D$805,$A27,Expenses!$A$6:$A$805,"&gt;="&amp;G$5,Expenses!$A$6:$A$805,"&lt;="&amp;EOMONTH(G$5,0)))</f>
        <v>350</v>
      </c>
      <c r="H27" s="90" t="n">
        <f aca="false">IF($A27="","",SUMIFS(Expenses!$F$6:$F$805,Expenses!$D$6:$D$805,$A27,Expenses!$A$6:$A$805,"&gt;="&amp;H$5,Expenses!$A$6:$A$805,"&lt;="&amp;EOMONTH(H$5,0)))</f>
        <v>350</v>
      </c>
      <c r="I27" s="90" t="n">
        <f aca="false">IF($A27="","",SUMIFS(Expenses!$F$6:$F$805,Expenses!$D$6:$D$805,$A27,Expenses!$A$6:$A$805,"&gt;="&amp;I$5,Expenses!$A$6:$A$805,"&lt;="&amp;EOMONTH(I$5,0)))</f>
        <v>350</v>
      </c>
      <c r="J27" s="90" t="n">
        <f aca="false">IF($A27="","",SUMIFS(Expenses!$F$6:$F$805,Expenses!$D$6:$D$805,$A27,Expenses!$A$6:$A$805,"&gt;="&amp;J$5,Expenses!$A$6:$A$805,"&lt;="&amp;EOMONTH(J$5,0)))</f>
        <v>350</v>
      </c>
      <c r="K27" s="90" t="n">
        <f aca="false">IF($A27="","",SUMIFS(Expenses!$F$6:$F$805,Expenses!$D$6:$D$805,$A27,Expenses!$A$6:$A$805,"&gt;="&amp;K$5,Expenses!$A$6:$A$805,"&lt;="&amp;EOMONTH(K$5,0)))</f>
        <v>350</v>
      </c>
      <c r="L27" s="90" t="n">
        <f aca="false">IF($A27="","",SUMIFS(Expenses!$F$6:$F$805,Expenses!$D$6:$D$805,$A27,Expenses!$A$6:$A$805,"&gt;="&amp;L$5,Expenses!$A$6:$A$805,"&lt;="&amp;EOMONTH(L$5,0)))</f>
        <v>0</v>
      </c>
      <c r="M27" s="90" t="n">
        <f aca="false">IF($A27="","",SUMIFS(Expenses!$F$6:$F$805,Expenses!$D$6:$D$805,$A27,Expenses!$A$6:$A$805,"&gt;="&amp;M$5,Expenses!$A$6:$A$805,"&lt;="&amp;EOMONTH(M$5,0)))</f>
        <v>0</v>
      </c>
      <c r="N27" s="90" t="n">
        <f aca="false">IF($A27="","",SUMIFS(Expenses!$F$6:$F$805,Expenses!$D$6:$D$805,$A27,Expenses!$A$6:$A$805,"&gt;="&amp;N$5,Expenses!$A$6:$A$805,"&lt;="&amp;EOMONTH(N$5,0)))</f>
        <v>0</v>
      </c>
      <c r="O27" s="55" t="n">
        <f aca="false">IF($A27="","",SUM(C27:N27))</f>
        <v>3150</v>
      </c>
      <c r="P27" s="35" t="n">
        <f aca="false">IF($A27="","",N(Settings!D37))</f>
        <v>350</v>
      </c>
      <c r="Q27" s="35" t="n">
        <f aca="false">IF($A27="","",P27*Dashboard!$P$5)</f>
        <v>3150</v>
      </c>
      <c r="R27" s="35" t="n">
        <f aca="false">IF($A27="","",SUMIFS(Expenses!$F$6:$F$805,Expenses!$D$6:$D$805,$A27,Expenses!$A$6:$A$805,"&gt;="&amp;DATE(Settings!$C$5,1,1),Expenses!$A$6:$A$805,"&lt;="&amp;EOMONTH(DATE(Settings!$C$5,Dashboard!$P$5,1),0)))</f>
        <v>3150</v>
      </c>
      <c r="S27" s="91" t="n">
        <f aca="false">IF($A27="","",Q27-R27)</f>
        <v>0</v>
      </c>
      <c r="T27" s="37" t="n">
        <f aca="false">IF(OR($A27="",N(Q27)=0),"",R27/Q27)</f>
        <v>1</v>
      </c>
      <c r="U27" s="38" t="str">
        <f aca="false">IF($A27="","",IF(N(Q27)=0,IF(N(R27)&gt;0,"No budget set",""),IF(R27&gt;Q27*1.05,"Over budget",IF(R27&gt;=Q27*0.9,"On budget","Under budget"))))</f>
        <v>On budget</v>
      </c>
    </row>
    <row r="28" customFormat="false" ht="15" hidden="false" customHeight="false" outlineLevel="0" collapsed="false">
      <c r="A28" s="34" t="str">
        <f aca="false">IF(Settings!B38="","",Settings!B38)</f>
        <v/>
      </c>
      <c r="B28" s="60" t="str">
        <f aca="false">IF(Settings!C38="","",Settings!C38)</f>
        <v/>
      </c>
      <c r="C28" s="90" t="str">
        <f aca="false">IF($A28="","",SUMIFS(Expenses!$F$6:$F$805,Expenses!$D$6:$D$805,$A28,Expenses!$A$6:$A$805,"&gt;="&amp;C$5,Expenses!$A$6:$A$805,"&lt;="&amp;EOMONTH(C$5,0)))</f>
        <v/>
      </c>
      <c r="D28" s="90" t="str">
        <f aca="false">IF($A28="","",SUMIFS(Expenses!$F$6:$F$805,Expenses!$D$6:$D$805,$A28,Expenses!$A$6:$A$805,"&gt;="&amp;D$5,Expenses!$A$6:$A$805,"&lt;="&amp;EOMONTH(D$5,0)))</f>
        <v/>
      </c>
      <c r="E28" s="90" t="str">
        <f aca="false">IF($A28="","",SUMIFS(Expenses!$F$6:$F$805,Expenses!$D$6:$D$805,$A28,Expenses!$A$6:$A$805,"&gt;="&amp;E$5,Expenses!$A$6:$A$805,"&lt;="&amp;EOMONTH(E$5,0)))</f>
        <v/>
      </c>
      <c r="F28" s="90" t="str">
        <f aca="false">IF($A28="","",SUMIFS(Expenses!$F$6:$F$805,Expenses!$D$6:$D$805,$A28,Expenses!$A$6:$A$805,"&gt;="&amp;F$5,Expenses!$A$6:$A$805,"&lt;="&amp;EOMONTH(F$5,0)))</f>
        <v/>
      </c>
      <c r="G28" s="90" t="str">
        <f aca="false">IF($A28="","",SUMIFS(Expenses!$F$6:$F$805,Expenses!$D$6:$D$805,$A28,Expenses!$A$6:$A$805,"&gt;="&amp;G$5,Expenses!$A$6:$A$805,"&lt;="&amp;EOMONTH(G$5,0)))</f>
        <v/>
      </c>
      <c r="H28" s="90" t="str">
        <f aca="false">IF($A28="","",SUMIFS(Expenses!$F$6:$F$805,Expenses!$D$6:$D$805,$A28,Expenses!$A$6:$A$805,"&gt;="&amp;H$5,Expenses!$A$6:$A$805,"&lt;="&amp;EOMONTH(H$5,0)))</f>
        <v/>
      </c>
      <c r="I28" s="90" t="str">
        <f aca="false">IF($A28="","",SUMIFS(Expenses!$F$6:$F$805,Expenses!$D$6:$D$805,$A28,Expenses!$A$6:$A$805,"&gt;="&amp;I$5,Expenses!$A$6:$A$805,"&lt;="&amp;EOMONTH(I$5,0)))</f>
        <v/>
      </c>
      <c r="J28" s="90" t="str">
        <f aca="false">IF($A28="","",SUMIFS(Expenses!$F$6:$F$805,Expenses!$D$6:$D$805,$A28,Expenses!$A$6:$A$805,"&gt;="&amp;J$5,Expenses!$A$6:$A$805,"&lt;="&amp;EOMONTH(J$5,0)))</f>
        <v/>
      </c>
      <c r="K28" s="90" t="str">
        <f aca="false">IF($A28="","",SUMIFS(Expenses!$F$6:$F$805,Expenses!$D$6:$D$805,$A28,Expenses!$A$6:$A$805,"&gt;="&amp;K$5,Expenses!$A$6:$A$805,"&lt;="&amp;EOMONTH(K$5,0)))</f>
        <v/>
      </c>
      <c r="L28" s="90" t="str">
        <f aca="false">IF($A28="","",SUMIFS(Expenses!$F$6:$F$805,Expenses!$D$6:$D$805,$A28,Expenses!$A$6:$A$805,"&gt;="&amp;L$5,Expenses!$A$6:$A$805,"&lt;="&amp;EOMONTH(L$5,0)))</f>
        <v/>
      </c>
      <c r="M28" s="90" t="str">
        <f aca="false">IF($A28="","",SUMIFS(Expenses!$F$6:$F$805,Expenses!$D$6:$D$805,$A28,Expenses!$A$6:$A$805,"&gt;="&amp;M$5,Expenses!$A$6:$A$805,"&lt;="&amp;EOMONTH(M$5,0)))</f>
        <v/>
      </c>
      <c r="N28" s="90" t="str">
        <f aca="false">IF($A28="","",SUMIFS(Expenses!$F$6:$F$805,Expenses!$D$6:$D$805,$A28,Expenses!$A$6:$A$805,"&gt;="&amp;N$5,Expenses!$A$6:$A$805,"&lt;="&amp;EOMONTH(N$5,0)))</f>
        <v/>
      </c>
      <c r="O28" s="55" t="str">
        <f aca="false">IF($A28="","",SUM(C28:N28))</f>
        <v/>
      </c>
      <c r="P28" s="35" t="str">
        <f aca="false">IF($A28="","",N(Settings!D38))</f>
        <v/>
      </c>
      <c r="Q28" s="35" t="str">
        <f aca="false">IF($A28="","",P28*Dashboard!$P$5)</f>
        <v/>
      </c>
      <c r="R28" s="35" t="str">
        <f aca="false">IF($A28="","",SUMIFS(Expenses!$F$6:$F$805,Expenses!$D$6:$D$805,$A28,Expenses!$A$6:$A$805,"&gt;="&amp;DATE(Settings!$C$5,1,1),Expenses!$A$6:$A$805,"&lt;="&amp;EOMONTH(DATE(Settings!$C$5,Dashboard!$P$5,1),0)))</f>
        <v/>
      </c>
      <c r="S28" s="91" t="str">
        <f aca="false">IF($A28="","",Q28-R28)</f>
        <v/>
      </c>
      <c r="T28" s="37" t="str">
        <f aca="false">IF(OR($A28="",N(Q28)=0),"",R28/Q28)</f>
        <v/>
      </c>
      <c r="U28" s="38" t="str">
        <f aca="false">IF($A28="","",IF(N(Q28)=0,IF(N(R28)&gt;0,"No budget set",""),IF(R28&gt;Q28*1.05,"Over budget",IF(R28&gt;=Q28*0.9,"On budget","Under budget"))))</f>
        <v/>
      </c>
    </row>
    <row r="29" customFormat="false" ht="15" hidden="false" customHeight="false" outlineLevel="0" collapsed="false">
      <c r="A29" s="34" t="str">
        <f aca="false">IF(Settings!B39="","",Settings!B39)</f>
        <v/>
      </c>
      <c r="B29" s="60" t="str">
        <f aca="false">IF(Settings!C39="","",Settings!C39)</f>
        <v/>
      </c>
      <c r="C29" s="90" t="str">
        <f aca="false">IF($A29="","",SUMIFS(Expenses!$F$6:$F$805,Expenses!$D$6:$D$805,$A29,Expenses!$A$6:$A$805,"&gt;="&amp;C$5,Expenses!$A$6:$A$805,"&lt;="&amp;EOMONTH(C$5,0)))</f>
        <v/>
      </c>
      <c r="D29" s="90" t="str">
        <f aca="false">IF($A29="","",SUMIFS(Expenses!$F$6:$F$805,Expenses!$D$6:$D$805,$A29,Expenses!$A$6:$A$805,"&gt;="&amp;D$5,Expenses!$A$6:$A$805,"&lt;="&amp;EOMONTH(D$5,0)))</f>
        <v/>
      </c>
      <c r="E29" s="90" t="str">
        <f aca="false">IF($A29="","",SUMIFS(Expenses!$F$6:$F$805,Expenses!$D$6:$D$805,$A29,Expenses!$A$6:$A$805,"&gt;="&amp;E$5,Expenses!$A$6:$A$805,"&lt;="&amp;EOMONTH(E$5,0)))</f>
        <v/>
      </c>
      <c r="F29" s="90" t="str">
        <f aca="false">IF($A29="","",SUMIFS(Expenses!$F$6:$F$805,Expenses!$D$6:$D$805,$A29,Expenses!$A$6:$A$805,"&gt;="&amp;F$5,Expenses!$A$6:$A$805,"&lt;="&amp;EOMONTH(F$5,0)))</f>
        <v/>
      </c>
      <c r="G29" s="90" t="str">
        <f aca="false">IF($A29="","",SUMIFS(Expenses!$F$6:$F$805,Expenses!$D$6:$D$805,$A29,Expenses!$A$6:$A$805,"&gt;="&amp;G$5,Expenses!$A$6:$A$805,"&lt;="&amp;EOMONTH(G$5,0)))</f>
        <v/>
      </c>
      <c r="H29" s="90" t="str">
        <f aca="false">IF($A29="","",SUMIFS(Expenses!$F$6:$F$805,Expenses!$D$6:$D$805,$A29,Expenses!$A$6:$A$805,"&gt;="&amp;H$5,Expenses!$A$6:$A$805,"&lt;="&amp;EOMONTH(H$5,0)))</f>
        <v/>
      </c>
      <c r="I29" s="90" t="str">
        <f aca="false">IF($A29="","",SUMIFS(Expenses!$F$6:$F$805,Expenses!$D$6:$D$805,$A29,Expenses!$A$6:$A$805,"&gt;="&amp;I$5,Expenses!$A$6:$A$805,"&lt;="&amp;EOMONTH(I$5,0)))</f>
        <v/>
      </c>
      <c r="J29" s="90" t="str">
        <f aca="false">IF($A29="","",SUMIFS(Expenses!$F$6:$F$805,Expenses!$D$6:$D$805,$A29,Expenses!$A$6:$A$805,"&gt;="&amp;J$5,Expenses!$A$6:$A$805,"&lt;="&amp;EOMONTH(J$5,0)))</f>
        <v/>
      </c>
      <c r="K29" s="90" t="str">
        <f aca="false">IF($A29="","",SUMIFS(Expenses!$F$6:$F$805,Expenses!$D$6:$D$805,$A29,Expenses!$A$6:$A$805,"&gt;="&amp;K$5,Expenses!$A$6:$A$805,"&lt;="&amp;EOMONTH(K$5,0)))</f>
        <v/>
      </c>
      <c r="L29" s="90" t="str">
        <f aca="false">IF($A29="","",SUMIFS(Expenses!$F$6:$F$805,Expenses!$D$6:$D$805,$A29,Expenses!$A$6:$A$805,"&gt;="&amp;L$5,Expenses!$A$6:$A$805,"&lt;="&amp;EOMONTH(L$5,0)))</f>
        <v/>
      </c>
      <c r="M29" s="90" t="str">
        <f aca="false">IF($A29="","",SUMIFS(Expenses!$F$6:$F$805,Expenses!$D$6:$D$805,$A29,Expenses!$A$6:$A$805,"&gt;="&amp;M$5,Expenses!$A$6:$A$805,"&lt;="&amp;EOMONTH(M$5,0)))</f>
        <v/>
      </c>
      <c r="N29" s="90" t="str">
        <f aca="false">IF($A29="","",SUMIFS(Expenses!$F$6:$F$805,Expenses!$D$6:$D$805,$A29,Expenses!$A$6:$A$805,"&gt;="&amp;N$5,Expenses!$A$6:$A$805,"&lt;="&amp;EOMONTH(N$5,0)))</f>
        <v/>
      </c>
      <c r="O29" s="55" t="str">
        <f aca="false">IF($A29="","",SUM(C29:N29))</f>
        <v/>
      </c>
      <c r="P29" s="35" t="str">
        <f aca="false">IF($A29="","",N(Settings!D39))</f>
        <v/>
      </c>
      <c r="Q29" s="35" t="str">
        <f aca="false">IF($A29="","",P29*Dashboard!$P$5)</f>
        <v/>
      </c>
      <c r="R29" s="35" t="str">
        <f aca="false">IF($A29="","",SUMIFS(Expenses!$F$6:$F$805,Expenses!$D$6:$D$805,$A29,Expenses!$A$6:$A$805,"&gt;="&amp;DATE(Settings!$C$5,1,1),Expenses!$A$6:$A$805,"&lt;="&amp;EOMONTH(DATE(Settings!$C$5,Dashboard!$P$5,1),0)))</f>
        <v/>
      </c>
      <c r="S29" s="91" t="str">
        <f aca="false">IF($A29="","",Q29-R29)</f>
        <v/>
      </c>
      <c r="T29" s="37" t="str">
        <f aca="false">IF(OR($A29="",N(Q29)=0),"",R29/Q29)</f>
        <v/>
      </c>
      <c r="U29" s="38" t="str">
        <f aca="false">IF($A29="","",IF(N(Q29)=0,IF(N(R29)&gt;0,"No budget set",""),IF(R29&gt;Q29*1.05,"Over budget",IF(R29&gt;=Q29*0.9,"On budget","Under budget"))))</f>
        <v/>
      </c>
    </row>
    <row r="30" customFormat="false" ht="15" hidden="false" customHeight="false" outlineLevel="0" collapsed="false">
      <c r="A30" s="34" t="str">
        <f aca="false">IF(Settings!B40="","",Settings!B40)</f>
        <v/>
      </c>
      <c r="B30" s="60" t="str">
        <f aca="false">IF(Settings!C40="","",Settings!C40)</f>
        <v/>
      </c>
      <c r="C30" s="90" t="str">
        <f aca="false">IF($A30="","",SUMIFS(Expenses!$F$6:$F$805,Expenses!$D$6:$D$805,$A30,Expenses!$A$6:$A$805,"&gt;="&amp;C$5,Expenses!$A$6:$A$805,"&lt;="&amp;EOMONTH(C$5,0)))</f>
        <v/>
      </c>
      <c r="D30" s="90" t="str">
        <f aca="false">IF($A30="","",SUMIFS(Expenses!$F$6:$F$805,Expenses!$D$6:$D$805,$A30,Expenses!$A$6:$A$805,"&gt;="&amp;D$5,Expenses!$A$6:$A$805,"&lt;="&amp;EOMONTH(D$5,0)))</f>
        <v/>
      </c>
      <c r="E30" s="90" t="str">
        <f aca="false">IF($A30="","",SUMIFS(Expenses!$F$6:$F$805,Expenses!$D$6:$D$805,$A30,Expenses!$A$6:$A$805,"&gt;="&amp;E$5,Expenses!$A$6:$A$805,"&lt;="&amp;EOMONTH(E$5,0)))</f>
        <v/>
      </c>
      <c r="F30" s="90" t="str">
        <f aca="false">IF($A30="","",SUMIFS(Expenses!$F$6:$F$805,Expenses!$D$6:$D$805,$A30,Expenses!$A$6:$A$805,"&gt;="&amp;F$5,Expenses!$A$6:$A$805,"&lt;="&amp;EOMONTH(F$5,0)))</f>
        <v/>
      </c>
      <c r="G30" s="90" t="str">
        <f aca="false">IF($A30="","",SUMIFS(Expenses!$F$6:$F$805,Expenses!$D$6:$D$805,$A30,Expenses!$A$6:$A$805,"&gt;="&amp;G$5,Expenses!$A$6:$A$805,"&lt;="&amp;EOMONTH(G$5,0)))</f>
        <v/>
      </c>
      <c r="H30" s="90" t="str">
        <f aca="false">IF($A30="","",SUMIFS(Expenses!$F$6:$F$805,Expenses!$D$6:$D$805,$A30,Expenses!$A$6:$A$805,"&gt;="&amp;H$5,Expenses!$A$6:$A$805,"&lt;="&amp;EOMONTH(H$5,0)))</f>
        <v/>
      </c>
      <c r="I30" s="90" t="str">
        <f aca="false">IF($A30="","",SUMIFS(Expenses!$F$6:$F$805,Expenses!$D$6:$D$805,$A30,Expenses!$A$6:$A$805,"&gt;="&amp;I$5,Expenses!$A$6:$A$805,"&lt;="&amp;EOMONTH(I$5,0)))</f>
        <v/>
      </c>
      <c r="J30" s="90" t="str">
        <f aca="false">IF($A30="","",SUMIFS(Expenses!$F$6:$F$805,Expenses!$D$6:$D$805,$A30,Expenses!$A$6:$A$805,"&gt;="&amp;J$5,Expenses!$A$6:$A$805,"&lt;="&amp;EOMONTH(J$5,0)))</f>
        <v/>
      </c>
      <c r="K30" s="90" t="str">
        <f aca="false">IF($A30="","",SUMIFS(Expenses!$F$6:$F$805,Expenses!$D$6:$D$805,$A30,Expenses!$A$6:$A$805,"&gt;="&amp;K$5,Expenses!$A$6:$A$805,"&lt;="&amp;EOMONTH(K$5,0)))</f>
        <v/>
      </c>
      <c r="L30" s="90" t="str">
        <f aca="false">IF($A30="","",SUMIFS(Expenses!$F$6:$F$805,Expenses!$D$6:$D$805,$A30,Expenses!$A$6:$A$805,"&gt;="&amp;L$5,Expenses!$A$6:$A$805,"&lt;="&amp;EOMONTH(L$5,0)))</f>
        <v/>
      </c>
      <c r="M30" s="90" t="str">
        <f aca="false">IF($A30="","",SUMIFS(Expenses!$F$6:$F$805,Expenses!$D$6:$D$805,$A30,Expenses!$A$6:$A$805,"&gt;="&amp;M$5,Expenses!$A$6:$A$805,"&lt;="&amp;EOMONTH(M$5,0)))</f>
        <v/>
      </c>
      <c r="N30" s="90" t="str">
        <f aca="false">IF($A30="","",SUMIFS(Expenses!$F$6:$F$805,Expenses!$D$6:$D$805,$A30,Expenses!$A$6:$A$805,"&gt;="&amp;N$5,Expenses!$A$6:$A$805,"&lt;="&amp;EOMONTH(N$5,0)))</f>
        <v/>
      </c>
      <c r="O30" s="55" t="str">
        <f aca="false">IF($A30="","",SUM(C30:N30))</f>
        <v/>
      </c>
      <c r="P30" s="35" t="str">
        <f aca="false">IF($A30="","",N(Settings!D40))</f>
        <v/>
      </c>
      <c r="Q30" s="35" t="str">
        <f aca="false">IF($A30="","",P30*Dashboard!$P$5)</f>
        <v/>
      </c>
      <c r="R30" s="35" t="str">
        <f aca="false">IF($A30="","",SUMIFS(Expenses!$F$6:$F$805,Expenses!$D$6:$D$805,$A30,Expenses!$A$6:$A$805,"&gt;="&amp;DATE(Settings!$C$5,1,1),Expenses!$A$6:$A$805,"&lt;="&amp;EOMONTH(DATE(Settings!$C$5,Dashboard!$P$5,1),0)))</f>
        <v/>
      </c>
      <c r="S30" s="91" t="str">
        <f aca="false">IF($A30="","",Q30-R30)</f>
        <v/>
      </c>
      <c r="T30" s="37" t="str">
        <f aca="false">IF(OR($A30="",N(Q30)=0),"",R30/Q30)</f>
        <v/>
      </c>
      <c r="U30" s="38" t="str">
        <f aca="false">IF($A30="","",IF(N(Q30)=0,IF(N(R30)&gt;0,"No budget set",""),IF(R30&gt;Q30*1.05,"Over budget",IF(R30&gt;=Q30*0.9,"On budget","Under budget"))))</f>
        <v/>
      </c>
    </row>
    <row r="31" customFormat="false" ht="15" hidden="false" customHeight="false" outlineLevel="0" collapsed="false">
      <c r="A31" s="34" t="str">
        <f aca="false">IF(Settings!B41="","",Settings!B41)</f>
        <v/>
      </c>
      <c r="B31" s="60" t="str">
        <f aca="false">IF(Settings!C41="","",Settings!C41)</f>
        <v/>
      </c>
      <c r="C31" s="90" t="str">
        <f aca="false">IF($A31="","",SUMIFS(Expenses!$F$6:$F$805,Expenses!$D$6:$D$805,$A31,Expenses!$A$6:$A$805,"&gt;="&amp;C$5,Expenses!$A$6:$A$805,"&lt;="&amp;EOMONTH(C$5,0)))</f>
        <v/>
      </c>
      <c r="D31" s="90" t="str">
        <f aca="false">IF($A31="","",SUMIFS(Expenses!$F$6:$F$805,Expenses!$D$6:$D$805,$A31,Expenses!$A$6:$A$805,"&gt;="&amp;D$5,Expenses!$A$6:$A$805,"&lt;="&amp;EOMONTH(D$5,0)))</f>
        <v/>
      </c>
      <c r="E31" s="90" t="str">
        <f aca="false">IF($A31="","",SUMIFS(Expenses!$F$6:$F$805,Expenses!$D$6:$D$805,$A31,Expenses!$A$6:$A$805,"&gt;="&amp;E$5,Expenses!$A$6:$A$805,"&lt;="&amp;EOMONTH(E$5,0)))</f>
        <v/>
      </c>
      <c r="F31" s="90" t="str">
        <f aca="false">IF($A31="","",SUMIFS(Expenses!$F$6:$F$805,Expenses!$D$6:$D$805,$A31,Expenses!$A$6:$A$805,"&gt;="&amp;F$5,Expenses!$A$6:$A$805,"&lt;="&amp;EOMONTH(F$5,0)))</f>
        <v/>
      </c>
      <c r="G31" s="90" t="str">
        <f aca="false">IF($A31="","",SUMIFS(Expenses!$F$6:$F$805,Expenses!$D$6:$D$805,$A31,Expenses!$A$6:$A$805,"&gt;="&amp;G$5,Expenses!$A$6:$A$805,"&lt;="&amp;EOMONTH(G$5,0)))</f>
        <v/>
      </c>
      <c r="H31" s="90" t="str">
        <f aca="false">IF($A31="","",SUMIFS(Expenses!$F$6:$F$805,Expenses!$D$6:$D$805,$A31,Expenses!$A$6:$A$805,"&gt;="&amp;H$5,Expenses!$A$6:$A$805,"&lt;="&amp;EOMONTH(H$5,0)))</f>
        <v/>
      </c>
      <c r="I31" s="90" t="str">
        <f aca="false">IF($A31="","",SUMIFS(Expenses!$F$6:$F$805,Expenses!$D$6:$D$805,$A31,Expenses!$A$6:$A$805,"&gt;="&amp;I$5,Expenses!$A$6:$A$805,"&lt;="&amp;EOMONTH(I$5,0)))</f>
        <v/>
      </c>
      <c r="J31" s="90" t="str">
        <f aca="false">IF($A31="","",SUMIFS(Expenses!$F$6:$F$805,Expenses!$D$6:$D$805,$A31,Expenses!$A$6:$A$805,"&gt;="&amp;J$5,Expenses!$A$6:$A$805,"&lt;="&amp;EOMONTH(J$5,0)))</f>
        <v/>
      </c>
      <c r="K31" s="90" t="str">
        <f aca="false">IF($A31="","",SUMIFS(Expenses!$F$6:$F$805,Expenses!$D$6:$D$805,$A31,Expenses!$A$6:$A$805,"&gt;="&amp;K$5,Expenses!$A$6:$A$805,"&lt;="&amp;EOMONTH(K$5,0)))</f>
        <v/>
      </c>
      <c r="L31" s="90" t="str">
        <f aca="false">IF($A31="","",SUMIFS(Expenses!$F$6:$F$805,Expenses!$D$6:$D$805,$A31,Expenses!$A$6:$A$805,"&gt;="&amp;L$5,Expenses!$A$6:$A$805,"&lt;="&amp;EOMONTH(L$5,0)))</f>
        <v/>
      </c>
      <c r="M31" s="90" t="str">
        <f aca="false">IF($A31="","",SUMIFS(Expenses!$F$6:$F$805,Expenses!$D$6:$D$805,$A31,Expenses!$A$6:$A$805,"&gt;="&amp;M$5,Expenses!$A$6:$A$805,"&lt;="&amp;EOMONTH(M$5,0)))</f>
        <v/>
      </c>
      <c r="N31" s="90" t="str">
        <f aca="false">IF($A31="","",SUMIFS(Expenses!$F$6:$F$805,Expenses!$D$6:$D$805,$A31,Expenses!$A$6:$A$805,"&gt;="&amp;N$5,Expenses!$A$6:$A$805,"&lt;="&amp;EOMONTH(N$5,0)))</f>
        <v/>
      </c>
      <c r="O31" s="55" t="str">
        <f aca="false">IF($A31="","",SUM(C31:N31))</f>
        <v/>
      </c>
      <c r="P31" s="35" t="str">
        <f aca="false">IF($A31="","",N(Settings!D41))</f>
        <v/>
      </c>
      <c r="Q31" s="35" t="str">
        <f aca="false">IF($A31="","",P31*Dashboard!$P$5)</f>
        <v/>
      </c>
      <c r="R31" s="35" t="str">
        <f aca="false">IF($A31="","",SUMIFS(Expenses!$F$6:$F$805,Expenses!$D$6:$D$805,$A31,Expenses!$A$6:$A$805,"&gt;="&amp;DATE(Settings!$C$5,1,1),Expenses!$A$6:$A$805,"&lt;="&amp;EOMONTH(DATE(Settings!$C$5,Dashboard!$P$5,1),0)))</f>
        <v/>
      </c>
      <c r="S31" s="91" t="str">
        <f aca="false">IF($A31="","",Q31-R31)</f>
        <v/>
      </c>
      <c r="T31" s="37" t="str">
        <f aca="false">IF(OR($A31="",N(Q31)=0),"",R31/Q31)</f>
        <v/>
      </c>
      <c r="U31" s="38" t="str">
        <f aca="false">IF($A31="","",IF(N(Q31)=0,IF(N(R31)&gt;0,"No budget set",""),IF(R31&gt;Q31*1.05,"Over budget",IF(R31&gt;=Q31*0.9,"On budget","Under budget"))))</f>
        <v/>
      </c>
    </row>
    <row r="32" customFormat="false" ht="15" hidden="false" customHeight="false" outlineLevel="0" collapsed="false">
      <c r="A32" s="34" t="str">
        <f aca="false">IF(Settings!B42="","",Settings!B42)</f>
        <v/>
      </c>
      <c r="B32" s="60" t="str">
        <f aca="false">IF(Settings!C42="","",Settings!C42)</f>
        <v/>
      </c>
      <c r="C32" s="90" t="str">
        <f aca="false">IF($A32="","",SUMIFS(Expenses!$F$6:$F$805,Expenses!$D$6:$D$805,$A32,Expenses!$A$6:$A$805,"&gt;="&amp;C$5,Expenses!$A$6:$A$805,"&lt;="&amp;EOMONTH(C$5,0)))</f>
        <v/>
      </c>
      <c r="D32" s="90" t="str">
        <f aca="false">IF($A32="","",SUMIFS(Expenses!$F$6:$F$805,Expenses!$D$6:$D$805,$A32,Expenses!$A$6:$A$805,"&gt;="&amp;D$5,Expenses!$A$6:$A$805,"&lt;="&amp;EOMONTH(D$5,0)))</f>
        <v/>
      </c>
      <c r="E32" s="90" t="str">
        <f aca="false">IF($A32="","",SUMIFS(Expenses!$F$6:$F$805,Expenses!$D$6:$D$805,$A32,Expenses!$A$6:$A$805,"&gt;="&amp;E$5,Expenses!$A$6:$A$805,"&lt;="&amp;EOMONTH(E$5,0)))</f>
        <v/>
      </c>
      <c r="F32" s="90" t="str">
        <f aca="false">IF($A32="","",SUMIFS(Expenses!$F$6:$F$805,Expenses!$D$6:$D$805,$A32,Expenses!$A$6:$A$805,"&gt;="&amp;F$5,Expenses!$A$6:$A$805,"&lt;="&amp;EOMONTH(F$5,0)))</f>
        <v/>
      </c>
      <c r="G32" s="90" t="str">
        <f aca="false">IF($A32="","",SUMIFS(Expenses!$F$6:$F$805,Expenses!$D$6:$D$805,$A32,Expenses!$A$6:$A$805,"&gt;="&amp;G$5,Expenses!$A$6:$A$805,"&lt;="&amp;EOMONTH(G$5,0)))</f>
        <v/>
      </c>
      <c r="H32" s="90" t="str">
        <f aca="false">IF($A32="","",SUMIFS(Expenses!$F$6:$F$805,Expenses!$D$6:$D$805,$A32,Expenses!$A$6:$A$805,"&gt;="&amp;H$5,Expenses!$A$6:$A$805,"&lt;="&amp;EOMONTH(H$5,0)))</f>
        <v/>
      </c>
      <c r="I32" s="90" t="str">
        <f aca="false">IF($A32="","",SUMIFS(Expenses!$F$6:$F$805,Expenses!$D$6:$D$805,$A32,Expenses!$A$6:$A$805,"&gt;="&amp;I$5,Expenses!$A$6:$A$805,"&lt;="&amp;EOMONTH(I$5,0)))</f>
        <v/>
      </c>
      <c r="J32" s="90" t="str">
        <f aca="false">IF($A32="","",SUMIFS(Expenses!$F$6:$F$805,Expenses!$D$6:$D$805,$A32,Expenses!$A$6:$A$805,"&gt;="&amp;J$5,Expenses!$A$6:$A$805,"&lt;="&amp;EOMONTH(J$5,0)))</f>
        <v/>
      </c>
      <c r="K32" s="90" t="str">
        <f aca="false">IF($A32="","",SUMIFS(Expenses!$F$6:$F$805,Expenses!$D$6:$D$805,$A32,Expenses!$A$6:$A$805,"&gt;="&amp;K$5,Expenses!$A$6:$A$805,"&lt;="&amp;EOMONTH(K$5,0)))</f>
        <v/>
      </c>
      <c r="L32" s="90" t="str">
        <f aca="false">IF($A32="","",SUMIFS(Expenses!$F$6:$F$805,Expenses!$D$6:$D$805,$A32,Expenses!$A$6:$A$805,"&gt;="&amp;L$5,Expenses!$A$6:$A$805,"&lt;="&amp;EOMONTH(L$5,0)))</f>
        <v/>
      </c>
      <c r="M32" s="90" t="str">
        <f aca="false">IF($A32="","",SUMIFS(Expenses!$F$6:$F$805,Expenses!$D$6:$D$805,$A32,Expenses!$A$6:$A$805,"&gt;="&amp;M$5,Expenses!$A$6:$A$805,"&lt;="&amp;EOMONTH(M$5,0)))</f>
        <v/>
      </c>
      <c r="N32" s="90" t="str">
        <f aca="false">IF($A32="","",SUMIFS(Expenses!$F$6:$F$805,Expenses!$D$6:$D$805,$A32,Expenses!$A$6:$A$805,"&gt;="&amp;N$5,Expenses!$A$6:$A$805,"&lt;="&amp;EOMONTH(N$5,0)))</f>
        <v/>
      </c>
      <c r="O32" s="55" t="str">
        <f aca="false">IF($A32="","",SUM(C32:N32))</f>
        <v/>
      </c>
      <c r="P32" s="35" t="str">
        <f aca="false">IF($A32="","",N(Settings!D42))</f>
        <v/>
      </c>
      <c r="Q32" s="35" t="str">
        <f aca="false">IF($A32="","",P32*Dashboard!$P$5)</f>
        <v/>
      </c>
      <c r="R32" s="35" t="str">
        <f aca="false">IF($A32="","",SUMIFS(Expenses!$F$6:$F$805,Expenses!$D$6:$D$805,$A32,Expenses!$A$6:$A$805,"&gt;="&amp;DATE(Settings!$C$5,1,1),Expenses!$A$6:$A$805,"&lt;="&amp;EOMONTH(DATE(Settings!$C$5,Dashboard!$P$5,1),0)))</f>
        <v/>
      </c>
      <c r="S32" s="91" t="str">
        <f aca="false">IF($A32="","",Q32-R32)</f>
        <v/>
      </c>
      <c r="T32" s="37" t="str">
        <f aca="false">IF(OR($A32="",N(Q32)=0),"",R32/Q32)</f>
        <v/>
      </c>
      <c r="U32" s="38" t="str">
        <f aca="false">IF($A32="","",IF(N(Q32)=0,IF(N(R32)&gt;0,"No budget set",""),IF(R32&gt;Q32*1.05,"Over budget",IF(R32&gt;=Q32*0.9,"On budget","Under budget"))))</f>
        <v/>
      </c>
    </row>
    <row r="33" customFormat="false" ht="15" hidden="false" customHeight="false" outlineLevel="0" collapsed="false">
      <c r="A33" s="34" t="str">
        <f aca="false">IF(Settings!B43="","",Settings!B43)</f>
        <v/>
      </c>
      <c r="B33" s="60" t="str">
        <f aca="false">IF(Settings!C43="","",Settings!C43)</f>
        <v/>
      </c>
      <c r="C33" s="90" t="str">
        <f aca="false">IF($A33="","",SUMIFS(Expenses!$F$6:$F$805,Expenses!$D$6:$D$805,$A33,Expenses!$A$6:$A$805,"&gt;="&amp;C$5,Expenses!$A$6:$A$805,"&lt;="&amp;EOMONTH(C$5,0)))</f>
        <v/>
      </c>
      <c r="D33" s="90" t="str">
        <f aca="false">IF($A33="","",SUMIFS(Expenses!$F$6:$F$805,Expenses!$D$6:$D$805,$A33,Expenses!$A$6:$A$805,"&gt;="&amp;D$5,Expenses!$A$6:$A$805,"&lt;="&amp;EOMONTH(D$5,0)))</f>
        <v/>
      </c>
      <c r="E33" s="90" t="str">
        <f aca="false">IF($A33="","",SUMIFS(Expenses!$F$6:$F$805,Expenses!$D$6:$D$805,$A33,Expenses!$A$6:$A$805,"&gt;="&amp;E$5,Expenses!$A$6:$A$805,"&lt;="&amp;EOMONTH(E$5,0)))</f>
        <v/>
      </c>
      <c r="F33" s="90" t="str">
        <f aca="false">IF($A33="","",SUMIFS(Expenses!$F$6:$F$805,Expenses!$D$6:$D$805,$A33,Expenses!$A$6:$A$805,"&gt;="&amp;F$5,Expenses!$A$6:$A$805,"&lt;="&amp;EOMONTH(F$5,0)))</f>
        <v/>
      </c>
      <c r="G33" s="90" t="str">
        <f aca="false">IF($A33="","",SUMIFS(Expenses!$F$6:$F$805,Expenses!$D$6:$D$805,$A33,Expenses!$A$6:$A$805,"&gt;="&amp;G$5,Expenses!$A$6:$A$805,"&lt;="&amp;EOMONTH(G$5,0)))</f>
        <v/>
      </c>
      <c r="H33" s="90" t="str">
        <f aca="false">IF($A33="","",SUMIFS(Expenses!$F$6:$F$805,Expenses!$D$6:$D$805,$A33,Expenses!$A$6:$A$805,"&gt;="&amp;H$5,Expenses!$A$6:$A$805,"&lt;="&amp;EOMONTH(H$5,0)))</f>
        <v/>
      </c>
      <c r="I33" s="90" t="str">
        <f aca="false">IF($A33="","",SUMIFS(Expenses!$F$6:$F$805,Expenses!$D$6:$D$805,$A33,Expenses!$A$6:$A$805,"&gt;="&amp;I$5,Expenses!$A$6:$A$805,"&lt;="&amp;EOMONTH(I$5,0)))</f>
        <v/>
      </c>
      <c r="J33" s="90" t="str">
        <f aca="false">IF($A33="","",SUMIFS(Expenses!$F$6:$F$805,Expenses!$D$6:$D$805,$A33,Expenses!$A$6:$A$805,"&gt;="&amp;J$5,Expenses!$A$6:$A$805,"&lt;="&amp;EOMONTH(J$5,0)))</f>
        <v/>
      </c>
      <c r="K33" s="90" t="str">
        <f aca="false">IF($A33="","",SUMIFS(Expenses!$F$6:$F$805,Expenses!$D$6:$D$805,$A33,Expenses!$A$6:$A$805,"&gt;="&amp;K$5,Expenses!$A$6:$A$805,"&lt;="&amp;EOMONTH(K$5,0)))</f>
        <v/>
      </c>
      <c r="L33" s="90" t="str">
        <f aca="false">IF($A33="","",SUMIFS(Expenses!$F$6:$F$805,Expenses!$D$6:$D$805,$A33,Expenses!$A$6:$A$805,"&gt;="&amp;L$5,Expenses!$A$6:$A$805,"&lt;="&amp;EOMONTH(L$5,0)))</f>
        <v/>
      </c>
      <c r="M33" s="90" t="str">
        <f aca="false">IF($A33="","",SUMIFS(Expenses!$F$6:$F$805,Expenses!$D$6:$D$805,$A33,Expenses!$A$6:$A$805,"&gt;="&amp;M$5,Expenses!$A$6:$A$805,"&lt;="&amp;EOMONTH(M$5,0)))</f>
        <v/>
      </c>
      <c r="N33" s="90" t="str">
        <f aca="false">IF($A33="","",SUMIFS(Expenses!$F$6:$F$805,Expenses!$D$6:$D$805,$A33,Expenses!$A$6:$A$805,"&gt;="&amp;N$5,Expenses!$A$6:$A$805,"&lt;="&amp;EOMONTH(N$5,0)))</f>
        <v/>
      </c>
      <c r="O33" s="55" t="str">
        <f aca="false">IF($A33="","",SUM(C33:N33))</f>
        <v/>
      </c>
      <c r="P33" s="35" t="str">
        <f aca="false">IF($A33="","",N(Settings!D43))</f>
        <v/>
      </c>
      <c r="Q33" s="35" t="str">
        <f aca="false">IF($A33="","",P33*Dashboard!$P$5)</f>
        <v/>
      </c>
      <c r="R33" s="35" t="str">
        <f aca="false">IF($A33="","",SUMIFS(Expenses!$F$6:$F$805,Expenses!$D$6:$D$805,$A33,Expenses!$A$6:$A$805,"&gt;="&amp;DATE(Settings!$C$5,1,1),Expenses!$A$6:$A$805,"&lt;="&amp;EOMONTH(DATE(Settings!$C$5,Dashboard!$P$5,1),0)))</f>
        <v/>
      </c>
      <c r="S33" s="91" t="str">
        <f aca="false">IF($A33="","",Q33-R33)</f>
        <v/>
      </c>
      <c r="T33" s="37" t="str">
        <f aca="false">IF(OR($A33="",N(Q33)=0),"",R33/Q33)</f>
        <v/>
      </c>
      <c r="U33" s="38" t="str">
        <f aca="false">IF($A33="","",IF(N(Q33)=0,IF(N(R33)&gt;0,"No budget set",""),IF(R33&gt;Q33*1.05,"Over budget",IF(R33&gt;=Q33*0.9,"On budget","Under budget"))))</f>
        <v/>
      </c>
    </row>
    <row r="34" customFormat="false" ht="15" hidden="false" customHeight="false" outlineLevel="0" collapsed="false">
      <c r="A34" s="34" t="str">
        <f aca="false">IF(Settings!B44="","",Settings!B44)</f>
        <v/>
      </c>
      <c r="B34" s="60" t="str">
        <f aca="false">IF(Settings!C44="","",Settings!C44)</f>
        <v/>
      </c>
      <c r="C34" s="90" t="str">
        <f aca="false">IF($A34="","",SUMIFS(Expenses!$F$6:$F$805,Expenses!$D$6:$D$805,$A34,Expenses!$A$6:$A$805,"&gt;="&amp;C$5,Expenses!$A$6:$A$805,"&lt;="&amp;EOMONTH(C$5,0)))</f>
        <v/>
      </c>
      <c r="D34" s="90" t="str">
        <f aca="false">IF($A34="","",SUMIFS(Expenses!$F$6:$F$805,Expenses!$D$6:$D$805,$A34,Expenses!$A$6:$A$805,"&gt;="&amp;D$5,Expenses!$A$6:$A$805,"&lt;="&amp;EOMONTH(D$5,0)))</f>
        <v/>
      </c>
      <c r="E34" s="90" t="str">
        <f aca="false">IF($A34="","",SUMIFS(Expenses!$F$6:$F$805,Expenses!$D$6:$D$805,$A34,Expenses!$A$6:$A$805,"&gt;="&amp;E$5,Expenses!$A$6:$A$805,"&lt;="&amp;EOMONTH(E$5,0)))</f>
        <v/>
      </c>
      <c r="F34" s="90" t="str">
        <f aca="false">IF($A34="","",SUMIFS(Expenses!$F$6:$F$805,Expenses!$D$6:$D$805,$A34,Expenses!$A$6:$A$805,"&gt;="&amp;F$5,Expenses!$A$6:$A$805,"&lt;="&amp;EOMONTH(F$5,0)))</f>
        <v/>
      </c>
      <c r="G34" s="90" t="str">
        <f aca="false">IF($A34="","",SUMIFS(Expenses!$F$6:$F$805,Expenses!$D$6:$D$805,$A34,Expenses!$A$6:$A$805,"&gt;="&amp;G$5,Expenses!$A$6:$A$805,"&lt;="&amp;EOMONTH(G$5,0)))</f>
        <v/>
      </c>
      <c r="H34" s="90" t="str">
        <f aca="false">IF($A34="","",SUMIFS(Expenses!$F$6:$F$805,Expenses!$D$6:$D$805,$A34,Expenses!$A$6:$A$805,"&gt;="&amp;H$5,Expenses!$A$6:$A$805,"&lt;="&amp;EOMONTH(H$5,0)))</f>
        <v/>
      </c>
      <c r="I34" s="90" t="str">
        <f aca="false">IF($A34="","",SUMIFS(Expenses!$F$6:$F$805,Expenses!$D$6:$D$805,$A34,Expenses!$A$6:$A$805,"&gt;="&amp;I$5,Expenses!$A$6:$A$805,"&lt;="&amp;EOMONTH(I$5,0)))</f>
        <v/>
      </c>
      <c r="J34" s="90" t="str">
        <f aca="false">IF($A34="","",SUMIFS(Expenses!$F$6:$F$805,Expenses!$D$6:$D$805,$A34,Expenses!$A$6:$A$805,"&gt;="&amp;J$5,Expenses!$A$6:$A$805,"&lt;="&amp;EOMONTH(J$5,0)))</f>
        <v/>
      </c>
      <c r="K34" s="90" t="str">
        <f aca="false">IF($A34="","",SUMIFS(Expenses!$F$6:$F$805,Expenses!$D$6:$D$805,$A34,Expenses!$A$6:$A$805,"&gt;="&amp;K$5,Expenses!$A$6:$A$805,"&lt;="&amp;EOMONTH(K$5,0)))</f>
        <v/>
      </c>
      <c r="L34" s="90" t="str">
        <f aca="false">IF($A34="","",SUMIFS(Expenses!$F$6:$F$805,Expenses!$D$6:$D$805,$A34,Expenses!$A$6:$A$805,"&gt;="&amp;L$5,Expenses!$A$6:$A$805,"&lt;="&amp;EOMONTH(L$5,0)))</f>
        <v/>
      </c>
      <c r="M34" s="90" t="str">
        <f aca="false">IF($A34="","",SUMIFS(Expenses!$F$6:$F$805,Expenses!$D$6:$D$805,$A34,Expenses!$A$6:$A$805,"&gt;="&amp;M$5,Expenses!$A$6:$A$805,"&lt;="&amp;EOMONTH(M$5,0)))</f>
        <v/>
      </c>
      <c r="N34" s="90" t="str">
        <f aca="false">IF($A34="","",SUMIFS(Expenses!$F$6:$F$805,Expenses!$D$6:$D$805,$A34,Expenses!$A$6:$A$805,"&gt;="&amp;N$5,Expenses!$A$6:$A$805,"&lt;="&amp;EOMONTH(N$5,0)))</f>
        <v/>
      </c>
      <c r="O34" s="55" t="str">
        <f aca="false">IF($A34="","",SUM(C34:N34))</f>
        <v/>
      </c>
      <c r="P34" s="35" t="str">
        <f aca="false">IF($A34="","",N(Settings!D44))</f>
        <v/>
      </c>
      <c r="Q34" s="35" t="str">
        <f aca="false">IF($A34="","",P34*Dashboard!$P$5)</f>
        <v/>
      </c>
      <c r="R34" s="35" t="str">
        <f aca="false">IF($A34="","",SUMIFS(Expenses!$F$6:$F$805,Expenses!$D$6:$D$805,$A34,Expenses!$A$6:$A$805,"&gt;="&amp;DATE(Settings!$C$5,1,1),Expenses!$A$6:$A$805,"&lt;="&amp;EOMONTH(DATE(Settings!$C$5,Dashboard!$P$5,1),0)))</f>
        <v/>
      </c>
      <c r="S34" s="91" t="str">
        <f aca="false">IF($A34="","",Q34-R34)</f>
        <v/>
      </c>
      <c r="T34" s="37" t="str">
        <f aca="false">IF(OR($A34="",N(Q34)=0),"",R34/Q34)</f>
        <v/>
      </c>
      <c r="U34" s="38" t="str">
        <f aca="false">IF($A34="","",IF(N(Q34)=0,IF(N(R34)&gt;0,"No budget set",""),IF(R34&gt;Q34*1.05,"Over budget",IF(R34&gt;=Q34*0.9,"On budget","Under budget"))))</f>
        <v/>
      </c>
    </row>
    <row r="35" customFormat="false" ht="15" hidden="false" customHeight="false" outlineLevel="0" collapsed="false">
      <c r="A35" s="34" t="str">
        <f aca="false">IF(Settings!B45="","",Settings!B45)</f>
        <v/>
      </c>
      <c r="B35" s="60" t="str">
        <f aca="false">IF(Settings!C45="","",Settings!C45)</f>
        <v/>
      </c>
      <c r="C35" s="90" t="str">
        <f aca="false">IF($A35="","",SUMIFS(Expenses!$F$6:$F$805,Expenses!$D$6:$D$805,$A35,Expenses!$A$6:$A$805,"&gt;="&amp;C$5,Expenses!$A$6:$A$805,"&lt;="&amp;EOMONTH(C$5,0)))</f>
        <v/>
      </c>
      <c r="D35" s="90" t="str">
        <f aca="false">IF($A35="","",SUMIFS(Expenses!$F$6:$F$805,Expenses!$D$6:$D$805,$A35,Expenses!$A$6:$A$805,"&gt;="&amp;D$5,Expenses!$A$6:$A$805,"&lt;="&amp;EOMONTH(D$5,0)))</f>
        <v/>
      </c>
      <c r="E35" s="90" t="str">
        <f aca="false">IF($A35="","",SUMIFS(Expenses!$F$6:$F$805,Expenses!$D$6:$D$805,$A35,Expenses!$A$6:$A$805,"&gt;="&amp;E$5,Expenses!$A$6:$A$805,"&lt;="&amp;EOMONTH(E$5,0)))</f>
        <v/>
      </c>
      <c r="F35" s="90" t="str">
        <f aca="false">IF($A35="","",SUMIFS(Expenses!$F$6:$F$805,Expenses!$D$6:$D$805,$A35,Expenses!$A$6:$A$805,"&gt;="&amp;F$5,Expenses!$A$6:$A$805,"&lt;="&amp;EOMONTH(F$5,0)))</f>
        <v/>
      </c>
      <c r="G35" s="90" t="str">
        <f aca="false">IF($A35="","",SUMIFS(Expenses!$F$6:$F$805,Expenses!$D$6:$D$805,$A35,Expenses!$A$6:$A$805,"&gt;="&amp;G$5,Expenses!$A$6:$A$805,"&lt;="&amp;EOMONTH(G$5,0)))</f>
        <v/>
      </c>
      <c r="H35" s="90" t="str">
        <f aca="false">IF($A35="","",SUMIFS(Expenses!$F$6:$F$805,Expenses!$D$6:$D$805,$A35,Expenses!$A$6:$A$805,"&gt;="&amp;H$5,Expenses!$A$6:$A$805,"&lt;="&amp;EOMONTH(H$5,0)))</f>
        <v/>
      </c>
      <c r="I35" s="90" t="str">
        <f aca="false">IF($A35="","",SUMIFS(Expenses!$F$6:$F$805,Expenses!$D$6:$D$805,$A35,Expenses!$A$6:$A$805,"&gt;="&amp;I$5,Expenses!$A$6:$A$805,"&lt;="&amp;EOMONTH(I$5,0)))</f>
        <v/>
      </c>
      <c r="J35" s="90" t="str">
        <f aca="false">IF($A35="","",SUMIFS(Expenses!$F$6:$F$805,Expenses!$D$6:$D$805,$A35,Expenses!$A$6:$A$805,"&gt;="&amp;J$5,Expenses!$A$6:$A$805,"&lt;="&amp;EOMONTH(J$5,0)))</f>
        <v/>
      </c>
      <c r="K35" s="90" t="str">
        <f aca="false">IF($A35="","",SUMIFS(Expenses!$F$6:$F$805,Expenses!$D$6:$D$805,$A35,Expenses!$A$6:$A$805,"&gt;="&amp;K$5,Expenses!$A$6:$A$805,"&lt;="&amp;EOMONTH(K$5,0)))</f>
        <v/>
      </c>
      <c r="L35" s="90" t="str">
        <f aca="false">IF($A35="","",SUMIFS(Expenses!$F$6:$F$805,Expenses!$D$6:$D$805,$A35,Expenses!$A$6:$A$805,"&gt;="&amp;L$5,Expenses!$A$6:$A$805,"&lt;="&amp;EOMONTH(L$5,0)))</f>
        <v/>
      </c>
      <c r="M35" s="90" t="str">
        <f aca="false">IF($A35="","",SUMIFS(Expenses!$F$6:$F$805,Expenses!$D$6:$D$805,$A35,Expenses!$A$6:$A$805,"&gt;="&amp;M$5,Expenses!$A$6:$A$805,"&lt;="&amp;EOMONTH(M$5,0)))</f>
        <v/>
      </c>
      <c r="N35" s="90" t="str">
        <f aca="false">IF($A35="","",SUMIFS(Expenses!$F$6:$F$805,Expenses!$D$6:$D$805,$A35,Expenses!$A$6:$A$805,"&gt;="&amp;N$5,Expenses!$A$6:$A$805,"&lt;="&amp;EOMONTH(N$5,0)))</f>
        <v/>
      </c>
      <c r="O35" s="55" t="str">
        <f aca="false">IF($A35="","",SUM(C35:N35))</f>
        <v/>
      </c>
      <c r="P35" s="35" t="str">
        <f aca="false">IF($A35="","",N(Settings!D45))</f>
        <v/>
      </c>
      <c r="Q35" s="35" t="str">
        <f aca="false">IF($A35="","",P35*Dashboard!$P$5)</f>
        <v/>
      </c>
      <c r="R35" s="35" t="str">
        <f aca="false">IF($A35="","",SUMIFS(Expenses!$F$6:$F$805,Expenses!$D$6:$D$805,$A35,Expenses!$A$6:$A$805,"&gt;="&amp;DATE(Settings!$C$5,1,1),Expenses!$A$6:$A$805,"&lt;="&amp;EOMONTH(DATE(Settings!$C$5,Dashboard!$P$5,1),0)))</f>
        <v/>
      </c>
      <c r="S35" s="91" t="str">
        <f aca="false">IF($A35="","",Q35-R35)</f>
        <v/>
      </c>
      <c r="T35" s="37" t="str">
        <f aca="false">IF(OR($A35="",N(Q35)=0),"",R35/Q35)</f>
        <v/>
      </c>
      <c r="U35" s="38" t="str">
        <f aca="false">IF($A35="","",IF(N(Q35)=0,IF(N(R35)&gt;0,"No budget set",""),IF(R35&gt;Q35*1.05,"Over budget",IF(R35&gt;=Q35*0.9,"On budget","Under budget"))))</f>
        <v/>
      </c>
    </row>
    <row r="36" customFormat="false" ht="15" hidden="false" customHeight="false" outlineLevel="0" collapsed="false">
      <c r="A36" s="49" t="s">
        <v>442</v>
      </c>
      <c r="C36" s="35" t="n">
        <f aca="false">SUMIFS(Expenses!$F$6:$F$805,Expenses!$A$6:$A$805,"&gt;="&amp;C$5,Expenses!$A$6:$A$805,"&lt;="&amp;EOMONTH(C$5,0))-SUM(C6:C35)</f>
        <v>0</v>
      </c>
      <c r="D36" s="35" t="n">
        <f aca="false">SUMIFS(Expenses!$F$6:$F$805,Expenses!$A$6:$A$805,"&gt;="&amp;D$5,Expenses!$A$6:$A$805,"&lt;="&amp;EOMONTH(D$5,0))-SUM(D6:D35)</f>
        <v>0</v>
      </c>
      <c r="E36" s="35" t="n">
        <f aca="false">SUMIFS(Expenses!$F$6:$F$805,Expenses!$A$6:$A$805,"&gt;="&amp;E$5,Expenses!$A$6:$A$805,"&lt;="&amp;EOMONTH(E$5,0))-SUM(E6:E35)</f>
        <v>0</v>
      </c>
      <c r="F36" s="35" t="n">
        <f aca="false">SUMIFS(Expenses!$F$6:$F$805,Expenses!$A$6:$A$805,"&gt;="&amp;F$5,Expenses!$A$6:$A$805,"&lt;="&amp;EOMONTH(F$5,0))-SUM(F6:F35)</f>
        <v>0</v>
      </c>
      <c r="G36" s="35" t="n">
        <f aca="false">SUMIFS(Expenses!$F$6:$F$805,Expenses!$A$6:$A$805,"&gt;="&amp;G$5,Expenses!$A$6:$A$805,"&lt;="&amp;EOMONTH(G$5,0))-SUM(G6:G35)</f>
        <v>0</v>
      </c>
      <c r="H36" s="35" t="n">
        <f aca="false">SUMIFS(Expenses!$F$6:$F$805,Expenses!$A$6:$A$805,"&gt;="&amp;H$5,Expenses!$A$6:$A$805,"&lt;="&amp;EOMONTH(H$5,0))-SUM(H6:H35)</f>
        <v>0</v>
      </c>
      <c r="I36" s="35" t="n">
        <f aca="false">SUMIFS(Expenses!$F$6:$F$805,Expenses!$A$6:$A$805,"&gt;="&amp;I$5,Expenses!$A$6:$A$805,"&lt;="&amp;EOMONTH(I$5,0))-SUM(I6:I35)</f>
        <v>0</v>
      </c>
      <c r="J36" s="35" t="n">
        <f aca="false">SUMIFS(Expenses!$F$6:$F$805,Expenses!$A$6:$A$805,"&gt;="&amp;J$5,Expenses!$A$6:$A$805,"&lt;="&amp;EOMONTH(J$5,0))-SUM(J6:J35)</f>
        <v>0</v>
      </c>
      <c r="K36" s="35" t="n">
        <f aca="false">SUMIFS(Expenses!$F$6:$F$805,Expenses!$A$6:$A$805,"&gt;="&amp;K$5,Expenses!$A$6:$A$805,"&lt;="&amp;EOMONTH(K$5,0))-SUM(K6:K35)</f>
        <v>0</v>
      </c>
      <c r="L36" s="35" t="n">
        <f aca="false">SUMIFS(Expenses!$F$6:$F$805,Expenses!$A$6:$A$805,"&gt;="&amp;L$5,Expenses!$A$6:$A$805,"&lt;="&amp;EOMONTH(L$5,0))-SUM(L6:L35)</f>
        <v>0</v>
      </c>
      <c r="M36" s="35" t="n">
        <f aca="false">SUMIFS(Expenses!$F$6:$F$805,Expenses!$A$6:$A$805,"&gt;="&amp;M$5,Expenses!$A$6:$A$805,"&lt;="&amp;EOMONTH(M$5,0))-SUM(M6:M35)</f>
        <v>0</v>
      </c>
      <c r="N36" s="35" t="n">
        <f aca="false">SUMIFS(Expenses!$F$6:$F$805,Expenses!$A$6:$A$805,"&gt;="&amp;N$5,Expenses!$A$6:$A$805,"&lt;="&amp;EOMONTH(N$5,0))-SUM(N6:N35)</f>
        <v>0</v>
      </c>
      <c r="O36" s="55" t="n">
        <f aca="false">SUM(C36:N36)</f>
        <v>0</v>
      </c>
    </row>
    <row r="37" customFormat="false" ht="15" hidden="false" customHeight="false" outlineLevel="0" collapsed="false">
      <c r="A37" s="82" t="s">
        <v>443</v>
      </c>
      <c r="B37" s="92"/>
      <c r="C37" s="83" t="n">
        <f aca="false">SUM(C6:C36)</f>
        <v>7735.7</v>
      </c>
      <c r="D37" s="83" t="n">
        <f aca="false">SUM(D6:D36)</f>
        <v>6799.88</v>
      </c>
      <c r="E37" s="83" t="n">
        <f aca="false">SUM(E6:E36)</f>
        <v>8843.02</v>
      </c>
      <c r="F37" s="83" t="n">
        <f aca="false">SUM(F6:F36)</f>
        <v>13651.75</v>
      </c>
      <c r="G37" s="83" t="n">
        <f aca="false">SUM(G6:G36)</f>
        <v>6842.76</v>
      </c>
      <c r="H37" s="83" t="n">
        <f aca="false">SUM(H6:H36)</f>
        <v>11547.87</v>
      </c>
      <c r="I37" s="83" t="n">
        <f aca="false">SUM(I6:I36)</f>
        <v>6927.54</v>
      </c>
      <c r="J37" s="83" t="n">
        <f aca="false">SUM(J6:J36)</f>
        <v>7452.97</v>
      </c>
      <c r="K37" s="83" t="n">
        <f aca="false">SUM(K6:K36)</f>
        <v>11396.36</v>
      </c>
      <c r="L37" s="83" t="n">
        <f aca="false">SUM(L6:L36)</f>
        <v>0</v>
      </c>
      <c r="M37" s="83" t="n">
        <f aca="false">SUM(M6:M36)</f>
        <v>0</v>
      </c>
      <c r="N37" s="83" t="n">
        <f aca="false">SUM(N6:N36)</f>
        <v>0</v>
      </c>
      <c r="O37" s="83" t="n">
        <f aca="false">SUM(O6:O36)</f>
        <v>81197.85</v>
      </c>
      <c r="P37" s="83" t="n">
        <f aca="false">SUM(P6:P35)</f>
        <v>8970</v>
      </c>
      <c r="Q37" s="83" t="n">
        <f aca="false">SUM(Q6:Q36)</f>
        <v>80730</v>
      </c>
      <c r="R37" s="83" t="n">
        <f aca="false">SUM(R6:R36)</f>
        <v>81197.85</v>
      </c>
      <c r="S37" s="87" t="n">
        <f aca="false">SUM(S6:S36)</f>
        <v>-467.85</v>
      </c>
    </row>
    <row r="39" customFormat="false" ht="30" hidden="false" customHeight="true" outlineLevel="0" collapsed="false">
      <c r="A39" s="56" t="s">
        <v>444</v>
      </c>
      <c r="B39" s="57"/>
      <c r="C39" s="93" t="n">
        <f aca="false">C5</f>
        <v>46023</v>
      </c>
      <c r="D39" s="93" t="n">
        <f aca="false">D5</f>
        <v>46054</v>
      </c>
      <c r="E39" s="93" t="n">
        <f aca="false">E5</f>
        <v>46082</v>
      </c>
      <c r="F39" s="93" t="n">
        <f aca="false">F5</f>
        <v>46113</v>
      </c>
      <c r="G39" s="93" t="n">
        <f aca="false">G5</f>
        <v>46143</v>
      </c>
      <c r="H39" s="93" t="n">
        <f aca="false">H5</f>
        <v>46174</v>
      </c>
      <c r="I39" s="93" t="n">
        <f aca="false">I5</f>
        <v>46204</v>
      </c>
      <c r="J39" s="93" t="n">
        <f aca="false">J5</f>
        <v>46235</v>
      </c>
      <c r="K39" s="93" t="n">
        <f aca="false">K5</f>
        <v>46266</v>
      </c>
      <c r="L39" s="93" t="n">
        <f aca="false">L5</f>
        <v>46296</v>
      </c>
      <c r="M39" s="93" t="n">
        <f aca="false">M5</f>
        <v>46327</v>
      </c>
      <c r="N39" s="93" t="n">
        <f aca="false">N5</f>
        <v>46357</v>
      </c>
      <c r="O39" s="57" t="s">
        <v>410</v>
      </c>
      <c r="P39" s="57" t="s">
        <v>98</v>
      </c>
      <c r="Q39" s="57" t="s">
        <v>438</v>
      </c>
      <c r="R39" s="57" t="s">
        <v>439</v>
      </c>
      <c r="S39" s="57" t="s">
        <v>440</v>
      </c>
      <c r="T39" s="57" t="s">
        <v>441</v>
      </c>
      <c r="U39" s="57" t="s">
        <v>195</v>
      </c>
    </row>
    <row r="40" customFormat="false" ht="15" hidden="false" customHeight="false" outlineLevel="0" collapsed="false">
      <c r="A40" s="34" t="str">
        <f aca="false">Settings!$G$16</f>
        <v>Overhead</v>
      </c>
      <c r="C40" s="35" t="n">
        <f aca="false">SUMIFS(C$6:C$35,$B$6:$B$35,$A40)</f>
        <v>1572.7</v>
      </c>
      <c r="D40" s="35" t="n">
        <f aca="false">SUMIFS(D$6:D$35,$B$6:$B$35,$A40)</f>
        <v>1406.88</v>
      </c>
      <c r="E40" s="35" t="n">
        <f aca="false">SUMIFS(E$6:E$35,$B$6:$B$35,$A40)</f>
        <v>1850.02</v>
      </c>
      <c r="F40" s="35" t="n">
        <f aca="false">SUMIFS(F$6:F$35,$B$6:$B$35,$A40)</f>
        <v>1158.75</v>
      </c>
      <c r="G40" s="35" t="n">
        <f aca="false">SUMIFS(G$6:G$35,$B$6:$B$35,$A40)</f>
        <v>1254.76</v>
      </c>
      <c r="H40" s="35" t="n">
        <f aca="false">SUMIFS(H$6:H$35,$B$6:$B$35,$A40)</f>
        <v>1154.87</v>
      </c>
      <c r="I40" s="35" t="n">
        <f aca="false">SUMIFS(I$6:I$35,$B$6:$B$35,$A40)</f>
        <v>1254.54</v>
      </c>
      <c r="J40" s="35" t="n">
        <f aca="false">SUMIFS(J$6:J$35,$B$6:$B$35,$A40)</f>
        <v>1209.97</v>
      </c>
      <c r="K40" s="35" t="n">
        <f aca="false">SUMIFS(K$6:K$35,$B$6:$B$35,$A40)</f>
        <v>1253.36</v>
      </c>
      <c r="L40" s="35" t="n">
        <f aca="false">SUMIFS(L$6:L$35,$B$6:$B$35,$A40)</f>
        <v>0</v>
      </c>
      <c r="M40" s="35" t="n">
        <f aca="false">SUMIFS(M$6:M$35,$B$6:$B$35,$A40)</f>
        <v>0</v>
      </c>
      <c r="N40" s="35" t="n">
        <f aca="false">SUMIFS(N$6:N$35,$B$6:$B$35,$A40)</f>
        <v>0</v>
      </c>
      <c r="O40" s="35" t="n">
        <f aca="false">SUMIFS(O$6:O$35,$B$6:$B$35,$A40)</f>
        <v>12115.85</v>
      </c>
      <c r="P40" s="35" t="n">
        <f aca="false">SUMIFS(P$6:P$35,$B$6:$B$35,$A40)</f>
        <v>1400</v>
      </c>
      <c r="Q40" s="35" t="n">
        <f aca="false">SUMIFS(Q$6:Q$35,$B$6:$B$35,$A40)</f>
        <v>12600</v>
      </c>
      <c r="R40" s="35" t="n">
        <f aca="false">SUMIFS(R$6:R$35,$B$6:$B$35,$A40)</f>
        <v>12115.85</v>
      </c>
      <c r="S40" s="91" t="n">
        <f aca="false">SUMIFS(S$6:S$35,$B$6:$B$35,$A40)</f>
        <v>484.15</v>
      </c>
      <c r="T40" s="37" t="n">
        <f aca="false">IF(N(Q40)=0,"",R40/Q40)</f>
        <v>0.961575396825397</v>
      </c>
      <c r="U40" s="38" t="str">
        <f aca="false">IF(N(Q40)=0,"",IF(R40&gt;Q40*1.05,"Over budget",IF(R40&gt;=Q40*0.9,"On budget","Under budget")))</f>
        <v>On budget</v>
      </c>
    </row>
    <row r="41" customFormat="false" ht="15" hidden="false" customHeight="false" outlineLevel="0" collapsed="false">
      <c r="A41" s="34" t="str">
        <f aca="false">Settings!$G$17</f>
        <v>Marketing &amp; Advertising</v>
      </c>
      <c r="C41" s="35" t="n">
        <f aca="false">SUMIFS(C$6:C$35,$B$6:$B$35,$A41)</f>
        <v>963</v>
      </c>
      <c r="D41" s="35" t="n">
        <f aca="false">SUMIFS(D$6:D$35,$B$6:$B$35,$A41)</f>
        <v>443</v>
      </c>
      <c r="E41" s="35" t="n">
        <f aca="false">SUMIFS(E$6:E$35,$B$6:$B$35,$A41)</f>
        <v>543</v>
      </c>
      <c r="F41" s="35" t="n">
        <f aca="false">SUMIFS(F$6:F$35,$B$6:$B$35,$A41)</f>
        <v>1293</v>
      </c>
      <c r="G41" s="35" t="n">
        <f aca="false">SUMIFS(G$6:G$35,$B$6:$B$35,$A41)</f>
        <v>638</v>
      </c>
      <c r="H41" s="35" t="n">
        <f aca="false">SUMIFS(H$6:H$35,$B$6:$B$35,$A41)</f>
        <v>693</v>
      </c>
      <c r="I41" s="35" t="n">
        <f aca="false">SUMIFS(I$6:I$35,$B$6:$B$35,$A41)</f>
        <v>723</v>
      </c>
      <c r="J41" s="35" t="n">
        <f aca="false">SUMIFS(J$6:J$35,$B$6:$B$35,$A41)</f>
        <v>543</v>
      </c>
      <c r="K41" s="35" t="n">
        <f aca="false">SUMIFS(K$6:K$35,$B$6:$B$35,$A41)</f>
        <v>693</v>
      </c>
      <c r="L41" s="35" t="n">
        <f aca="false">SUMIFS(L$6:L$35,$B$6:$B$35,$A41)</f>
        <v>0</v>
      </c>
      <c r="M41" s="35" t="n">
        <f aca="false">SUMIFS(M$6:M$35,$B$6:$B$35,$A41)</f>
        <v>0</v>
      </c>
      <c r="N41" s="35" t="n">
        <f aca="false">SUMIFS(N$6:N$35,$B$6:$B$35,$A41)</f>
        <v>0</v>
      </c>
      <c r="O41" s="35" t="n">
        <f aca="false">SUMIFS(O$6:O$35,$B$6:$B$35,$A41)</f>
        <v>6532</v>
      </c>
      <c r="P41" s="35" t="n">
        <f aca="false">SUMIFS(P$6:P$35,$B$6:$B$35,$A41)</f>
        <v>695</v>
      </c>
      <c r="Q41" s="35" t="n">
        <f aca="false">SUMIFS(Q$6:Q$35,$B$6:$B$35,$A41)</f>
        <v>6255</v>
      </c>
      <c r="R41" s="35" t="n">
        <f aca="false">SUMIFS(R$6:R$35,$B$6:$B$35,$A41)</f>
        <v>6532</v>
      </c>
      <c r="S41" s="91" t="n">
        <f aca="false">SUMIFS(S$6:S$35,$B$6:$B$35,$A41)</f>
        <v>-277</v>
      </c>
      <c r="T41" s="37" t="n">
        <f aca="false">IF(N(Q41)=0,"",R41/Q41)</f>
        <v>1.04428457234213</v>
      </c>
      <c r="U41" s="38" t="str">
        <f aca="false">IF(N(Q41)=0,"",IF(R41&gt;Q41*1.05,"Over budget",IF(R41&gt;=Q41*0.9,"On budget","Under budget")))</f>
        <v>On budget</v>
      </c>
    </row>
    <row r="42" customFormat="false" ht="15" hidden="false" customHeight="false" outlineLevel="0" collapsed="false">
      <c r="A42" s="34" t="str">
        <f aca="false">Settings!$G$18</f>
        <v>Contractors &amp; Vendors</v>
      </c>
      <c r="C42" s="35" t="n">
        <f aca="false">SUMIFS(C$6:C$35,$B$6:$B$35,$A42)</f>
        <v>700</v>
      </c>
      <c r="D42" s="35" t="n">
        <f aca="false">SUMIFS(D$6:D$35,$B$6:$B$35,$A42)</f>
        <v>450</v>
      </c>
      <c r="E42" s="35" t="n">
        <f aca="false">SUMIFS(E$6:E$35,$B$6:$B$35,$A42)</f>
        <v>1950</v>
      </c>
      <c r="F42" s="35" t="n">
        <f aca="false">SUMIFS(F$6:F$35,$B$6:$B$35,$A42)</f>
        <v>2200</v>
      </c>
      <c r="G42" s="35" t="n">
        <f aca="false">SUMIFS(G$6:G$35,$B$6:$B$35,$A42)</f>
        <v>450</v>
      </c>
      <c r="H42" s="35" t="n">
        <f aca="false">SUMIFS(H$6:H$35,$B$6:$B$35,$A42)</f>
        <v>700</v>
      </c>
      <c r="I42" s="35" t="n">
        <f aca="false">SUMIFS(I$6:I$35,$B$6:$B$35,$A42)</f>
        <v>450</v>
      </c>
      <c r="J42" s="35" t="n">
        <f aca="false">SUMIFS(J$6:J$35,$B$6:$B$35,$A42)</f>
        <v>1200</v>
      </c>
      <c r="K42" s="35" t="n">
        <f aca="false">SUMIFS(K$6:K$35,$B$6:$B$35,$A42)</f>
        <v>450</v>
      </c>
      <c r="L42" s="35" t="n">
        <f aca="false">SUMIFS(L$6:L$35,$B$6:$B$35,$A42)</f>
        <v>0</v>
      </c>
      <c r="M42" s="35" t="n">
        <f aca="false">SUMIFS(M$6:M$35,$B$6:$B$35,$A42)</f>
        <v>0</v>
      </c>
      <c r="N42" s="35" t="n">
        <f aca="false">SUMIFS(N$6:N$35,$B$6:$B$35,$A42)</f>
        <v>0</v>
      </c>
      <c r="O42" s="35" t="n">
        <f aca="false">SUMIFS(O$6:O$35,$B$6:$B$35,$A42)</f>
        <v>8550</v>
      </c>
      <c r="P42" s="35" t="n">
        <f aca="false">SUMIFS(P$6:P$35,$B$6:$B$35,$A42)</f>
        <v>875</v>
      </c>
      <c r="Q42" s="35" t="n">
        <f aca="false">SUMIFS(Q$6:Q$35,$B$6:$B$35,$A42)</f>
        <v>7875</v>
      </c>
      <c r="R42" s="35" t="n">
        <f aca="false">SUMIFS(R$6:R$35,$B$6:$B$35,$A42)</f>
        <v>8550</v>
      </c>
      <c r="S42" s="91" t="n">
        <f aca="false">SUMIFS(S$6:S$35,$B$6:$B$35,$A42)</f>
        <v>-675</v>
      </c>
      <c r="T42" s="37" t="n">
        <f aca="false">IF(N(Q42)=0,"",R42/Q42)</f>
        <v>1.08571428571429</v>
      </c>
      <c r="U42" s="38" t="str">
        <f aca="false">IF(N(Q42)=0,"",IF(R42&gt;Q42*1.05,"Over budget",IF(R42&gt;=Q42*0.9,"On budget","Under budget")))</f>
        <v>Over budget</v>
      </c>
    </row>
    <row r="43" customFormat="false" ht="15" hidden="false" customHeight="false" outlineLevel="0" collapsed="false">
      <c r="A43" s="34" t="str">
        <f aca="false">Settings!$G$19</f>
        <v>Owner Pay &amp; Taxes</v>
      </c>
      <c r="C43" s="35" t="n">
        <f aca="false">SUMIFS(C$6:C$35,$B$6:$B$35,$A43)</f>
        <v>4500</v>
      </c>
      <c r="D43" s="35" t="n">
        <f aca="false">SUMIFS(D$6:D$35,$B$6:$B$35,$A43)</f>
        <v>4500</v>
      </c>
      <c r="E43" s="35" t="n">
        <f aca="false">SUMIFS(E$6:E$35,$B$6:$B$35,$A43)</f>
        <v>4500</v>
      </c>
      <c r="F43" s="35" t="n">
        <f aca="false">SUMIFS(F$6:F$35,$B$6:$B$35,$A43)</f>
        <v>9000</v>
      </c>
      <c r="G43" s="35" t="n">
        <f aca="false">SUMIFS(G$6:G$35,$B$6:$B$35,$A43)</f>
        <v>4500</v>
      </c>
      <c r="H43" s="35" t="n">
        <f aca="false">SUMIFS(H$6:H$35,$B$6:$B$35,$A43)</f>
        <v>9000</v>
      </c>
      <c r="I43" s="35" t="n">
        <f aca="false">SUMIFS(I$6:I$35,$B$6:$B$35,$A43)</f>
        <v>4500</v>
      </c>
      <c r="J43" s="35" t="n">
        <f aca="false">SUMIFS(J$6:J$35,$B$6:$B$35,$A43)</f>
        <v>4500</v>
      </c>
      <c r="K43" s="35" t="n">
        <f aca="false">SUMIFS(K$6:K$35,$B$6:$B$35,$A43)</f>
        <v>9000</v>
      </c>
      <c r="L43" s="35" t="n">
        <f aca="false">SUMIFS(L$6:L$35,$B$6:$B$35,$A43)</f>
        <v>0</v>
      </c>
      <c r="M43" s="35" t="n">
        <f aca="false">SUMIFS(M$6:M$35,$B$6:$B$35,$A43)</f>
        <v>0</v>
      </c>
      <c r="N43" s="35" t="n">
        <f aca="false">SUMIFS(N$6:N$35,$B$6:$B$35,$A43)</f>
        <v>0</v>
      </c>
      <c r="O43" s="35" t="n">
        <f aca="false">SUMIFS(O$6:O$35,$B$6:$B$35,$A43)</f>
        <v>54000</v>
      </c>
      <c r="P43" s="35" t="n">
        <f aca="false">SUMIFS(P$6:P$35,$B$6:$B$35,$A43)</f>
        <v>6000</v>
      </c>
      <c r="Q43" s="35" t="n">
        <f aca="false">SUMIFS(Q$6:Q$35,$B$6:$B$35,$A43)</f>
        <v>54000</v>
      </c>
      <c r="R43" s="35" t="n">
        <f aca="false">SUMIFS(R$6:R$35,$B$6:$B$35,$A43)</f>
        <v>54000</v>
      </c>
      <c r="S43" s="91" t="n">
        <f aca="false">SUMIFS(S$6:S$35,$B$6:$B$35,$A43)</f>
        <v>0</v>
      </c>
      <c r="T43" s="37" t="n">
        <f aca="false">IF(N(Q43)=0,"",R43/Q43)</f>
        <v>1</v>
      </c>
      <c r="U43" s="38" t="str">
        <f aca="false">IF(N(Q43)=0,"",IF(R43&gt;Q43*1.05,"Over budget",IF(R43&gt;=Q43*0.9,"On budget","Under budget")))</f>
        <v>On budget</v>
      </c>
    </row>
  </sheetData>
  <conditionalFormatting sqref="U6:U35">
    <cfRule type="expression" priority="2" aboveAverage="0" equalAverage="0" bottom="0" percent="0" rank="0" text="" dxfId="0">
      <formula>U6="Over budget"</formula>
    </cfRule>
    <cfRule type="expression" priority="3" aboveAverage="0" equalAverage="0" bottom="0" percent="0" rank="0" text="" dxfId="1">
      <formula>U6="On budget"</formula>
    </cfRule>
    <cfRule type="expression" priority="4" aboveAverage="0" equalAverage="0" bottom="0" percent="0" rank="0" text="" dxfId="3">
      <formula>U6="Under budget"</formula>
    </cfRule>
    <cfRule type="expression" priority="5" aboveAverage="0" equalAverage="0" bottom="0" percent="0" rank="0" text="" dxfId="2">
      <formula>U6="No budget set"</formula>
    </cfRule>
  </conditionalFormatting>
  <conditionalFormatting sqref="U40:U43">
    <cfRule type="expression" priority="6" aboveAverage="0" equalAverage="0" bottom="0" percent="0" rank="0" text="" dxfId="0">
      <formula>U40="Over budget"</formula>
    </cfRule>
    <cfRule type="expression" priority="7" aboveAverage="0" equalAverage="0" bottom="0" percent="0" rank="0" text="" dxfId="1">
      <formula>U40="On budget"</formula>
    </cfRule>
    <cfRule type="expression" priority="8" aboveAverage="0" equalAverage="0" bottom="0" percent="0" rank="0" text="" dxfId="3">
      <formula>U40="Under budget"</formula>
    </cfRule>
    <cfRule type="expression" priority="9" aboveAverage="0" equalAverage="0" bottom="0" percent="0" rank="0" text="" dxfId="2">
      <formula>U40="No budget set"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N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13" min="2" style="0" width="12"/>
    <col collapsed="false" customWidth="true" hidden="false" outlineLevel="0" max="14" min="14" style="0" width="13"/>
  </cols>
  <sheetData>
    <row r="1" customFormat="false" ht="22.05" hidden="false" customHeight="false" outlineLevel="0" collapsed="false">
      <c r="A1" s="48" t="s">
        <v>445</v>
      </c>
    </row>
    <row r="2" customFormat="false" ht="15" hidden="false" customHeight="false" outlineLevel="0" collapsed="false">
      <c r="A2" s="49" t="s">
        <v>446</v>
      </c>
    </row>
    <row r="3" customFormat="false" ht="15" hidden="false" customHeight="false" outlineLevel="0" collapsed="false">
      <c r="A3" s="89" t="str">
        <f aca="false">"Actuals run through: "&amp;Dashboard!$C$5&amp;" "&amp;Settings!$C$5&amp;". Change the month on the Dashboard."</f>
        <v>Actuals run through: Sep 2026. Change the month on the Dashboard.</v>
      </c>
    </row>
    <row r="5" customFormat="false" ht="30" hidden="false" customHeight="true" outlineLevel="0" collapsed="false">
      <c r="A5" s="56"/>
      <c r="B5" s="80" t="n">
        <f aca="false">DATE(Settings!$C$5,1,1)</f>
        <v>46023</v>
      </c>
      <c r="C5" s="80" t="n">
        <f aca="false">DATE(Settings!$C$5,2,1)</f>
        <v>46054</v>
      </c>
      <c r="D5" s="80" t="n">
        <f aca="false">DATE(Settings!$C$5,3,1)</f>
        <v>46082</v>
      </c>
      <c r="E5" s="80" t="n">
        <f aca="false">DATE(Settings!$C$5,4,1)</f>
        <v>46113</v>
      </c>
      <c r="F5" s="80" t="n">
        <f aca="false">DATE(Settings!$C$5,5,1)</f>
        <v>46143</v>
      </c>
      <c r="G5" s="80" t="n">
        <f aca="false">DATE(Settings!$C$5,6,1)</f>
        <v>46174</v>
      </c>
      <c r="H5" s="80" t="n">
        <f aca="false">DATE(Settings!$C$5,7,1)</f>
        <v>46204</v>
      </c>
      <c r="I5" s="80" t="n">
        <f aca="false">DATE(Settings!$C$5,8,1)</f>
        <v>46235</v>
      </c>
      <c r="J5" s="80" t="n">
        <f aca="false">DATE(Settings!$C$5,9,1)</f>
        <v>46266</v>
      </c>
      <c r="K5" s="80" t="n">
        <f aca="false">DATE(Settings!$C$5,10,1)</f>
        <v>46296</v>
      </c>
      <c r="L5" s="80" t="n">
        <f aca="false">DATE(Settings!$C$5,11,1)</f>
        <v>46327</v>
      </c>
      <c r="M5" s="80" t="n">
        <f aca="false">DATE(Settings!$C$5,12,1)</f>
        <v>46357</v>
      </c>
      <c r="N5" s="57" t="s">
        <v>410</v>
      </c>
    </row>
    <row r="6" customFormat="false" ht="15" hidden="false" customHeight="false" outlineLevel="0" collapsed="false">
      <c r="A6" s="28" t="s">
        <v>447</v>
      </c>
      <c r="B6" s="6"/>
      <c r="C6" s="6"/>
      <c r="D6" s="6"/>
      <c r="E6" s="6"/>
      <c r="F6" s="6"/>
      <c r="G6" s="6"/>
      <c r="H6" s="6"/>
      <c r="I6" s="6"/>
      <c r="J6" s="6"/>
      <c r="K6" s="6"/>
      <c r="L6" s="6"/>
      <c r="M6" s="6"/>
      <c r="N6" s="6"/>
    </row>
    <row r="7" customFormat="false" ht="15" hidden="false" customHeight="false" outlineLevel="0" collapsed="false">
      <c r="A7" s="81" t="s">
        <v>448</v>
      </c>
      <c r="B7" s="35" t="n">
        <f aca="false">IF(1&gt;Dashboard!$P$5,"",Settings!$C$7)</f>
        <v>15000</v>
      </c>
      <c r="C7" s="35" t="n">
        <f aca="false">IF(2&gt;Dashboard!$P$5,"",B13)</f>
        <v>12964.3</v>
      </c>
      <c r="D7" s="35" t="n">
        <f aca="false">IF(3&gt;Dashboard!$P$5,"",C13)</f>
        <v>15239.42</v>
      </c>
      <c r="E7" s="35" t="n">
        <f aca="false">IF(4&gt;Dashboard!$P$5,"",D13)</f>
        <v>22823.9</v>
      </c>
      <c r="F7" s="35" t="n">
        <f aca="false">IF(5&gt;Dashboard!$P$5,"",E13)</f>
        <v>17622.15</v>
      </c>
      <c r="G7" s="35" t="n">
        <f aca="false">IF(6&gt;Dashboard!$P$5,"",F13)</f>
        <v>23201.89</v>
      </c>
      <c r="H7" s="35" t="n">
        <f aca="false">IF(7&gt;Dashboard!$P$5,"",G13)</f>
        <v>27157.77</v>
      </c>
      <c r="I7" s="35" t="n">
        <f aca="false">IF(8&gt;Dashboard!$P$5,"",H13)</f>
        <v>34362.73</v>
      </c>
      <c r="J7" s="35" t="n">
        <f aca="false">IF(9&gt;Dashboard!$P$5,"",I13)</f>
        <v>41873.51</v>
      </c>
      <c r="K7" s="35" t="str">
        <f aca="false">IF(10&gt;Dashboard!$P$5,"",J13)</f>
        <v/>
      </c>
      <c r="L7" s="35" t="str">
        <f aca="false">IF(11&gt;Dashboard!$P$5,"",K13)</f>
        <v/>
      </c>
      <c r="M7" s="35" t="str">
        <f aca="false">IF(12&gt;Dashboard!$P$5,"",L13)</f>
        <v/>
      </c>
    </row>
    <row r="8" customFormat="false" ht="15" hidden="false" customHeight="false" outlineLevel="0" collapsed="false">
      <c r="A8" s="81" t="s">
        <v>449</v>
      </c>
      <c r="B8" s="35" t="n">
        <f aca="false">IF(1&gt;Dashboard!$P$5,"",SUMIFS(Invoices!$I$6:$I$505,Invoices!$H$6:$H$505,"&gt;="&amp;B$5,Invoices!$H$6:$H$505,"&lt;="&amp;EOMONTH(B$5,0)))</f>
        <v>5700</v>
      </c>
      <c r="C8" s="35" t="n">
        <f aca="false">IF(2&gt;Dashboard!$P$5,"",SUMIFS(Invoices!$I$6:$I$505,Invoices!$H$6:$H$505,"&gt;="&amp;C$5,Invoices!$H$6:$H$505,"&lt;="&amp;EOMONTH(C$5,0)))</f>
        <v>9075</v>
      </c>
      <c r="D8" s="35" t="n">
        <f aca="false">IF(3&gt;Dashboard!$P$5,"",SUMIFS(Invoices!$I$6:$I$505,Invoices!$H$6:$H$505,"&gt;="&amp;D$5,Invoices!$H$6:$H$505,"&lt;="&amp;EOMONTH(D$5,0)))</f>
        <v>16427.5</v>
      </c>
      <c r="E8" s="35" t="n">
        <f aca="false">IF(4&gt;Dashboard!$P$5,"",SUMIFS(Invoices!$I$6:$I$505,Invoices!$H$6:$H$505,"&gt;="&amp;E$5,Invoices!$H$6:$H$505,"&lt;="&amp;EOMONTH(E$5,0)))</f>
        <v>8450</v>
      </c>
      <c r="F8" s="35" t="n">
        <f aca="false">IF(5&gt;Dashboard!$P$5,"",SUMIFS(Invoices!$I$6:$I$505,Invoices!$H$6:$H$505,"&gt;="&amp;F$5,Invoices!$H$6:$H$505,"&lt;="&amp;EOMONTH(F$5,0)))</f>
        <v>12422.5</v>
      </c>
      <c r="G8" s="35" t="n">
        <f aca="false">IF(6&gt;Dashboard!$P$5,"",SUMIFS(Invoices!$I$6:$I$505,Invoices!$H$6:$H$505,"&gt;="&amp;G$5,Invoices!$H$6:$H$505,"&lt;="&amp;EOMONTH(G$5,0)))</f>
        <v>15503.75</v>
      </c>
      <c r="H8" s="35" t="n">
        <f aca="false">IF(7&gt;Dashboard!$P$5,"",SUMIFS(Invoices!$I$6:$I$505,Invoices!$H$6:$H$505,"&gt;="&amp;H$5,Invoices!$H$6:$H$505,"&lt;="&amp;EOMONTH(H$5,0)))</f>
        <v>14132.5</v>
      </c>
      <c r="I8" s="35" t="n">
        <f aca="false">IF(8&gt;Dashboard!$P$5,"",SUMIFS(Invoices!$I$6:$I$505,Invoices!$H$6:$H$505,"&gt;="&amp;I$5,Invoices!$H$6:$H$505,"&lt;="&amp;EOMONTH(I$5,0)))</f>
        <v>14963.75</v>
      </c>
      <c r="J8" s="35" t="n">
        <f aca="false">IF(9&gt;Dashboard!$P$5,"",SUMIFS(Invoices!$I$6:$I$505,Invoices!$H$6:$H$505,"&gt;="&amp;J$5,Invoices!$H$6:$H$505,"&lt;="&amp;EOMONTH(J$5,0)))</f>
        <v>12685</v>
      </c>
      <c r="K8" s="35" t="str">
        <f aca="false">IF(10&gt;Dashboard!$P$5,"",SUMIFS(Invoices!$I$6:$I$505,Invoices!$H$6:$H$505,"&gt;="&amp;K$5,Invoices!$H$6:$H$505,"&lt;="&amp;EOMONTH(K$5,0)))</f>
        <v/>
      </c>
      <c r="L8" s="35" t="str">
        <f aca="false">IF(11&gt;Dashboard!$P$5,"",SUMIFS(Invoices!$I$6:$I$505,Invoices!$H$6:$H$505,"&gt;="&amp;L$5,Invoices!$H$6:$H$505,"&lt;="&amp;EOMONTH(L$5,0)))</f>
        <v/>
      </c>
      <c r="M8" s="35" t="str">
        <f aca="false">IF(12&gt;Dashboard!$P$5,"",SUMIFS(Invoices!$I$6:$I$505,Invoices!$H$6:$H$505,"&gt;="&amp;M$5,Invoices!$H$6:$H$505,"&lt;="&amp;EOMONTH(M$5,0)))</f>
        <v/>
      </c>
      <c r="N8" s="55" t="n">
        <f aca="false">SUM(B8:M8)</f>
        <v>109360</v>
      </c>
    </row>
    <row r="9" customFormat="false" ht="15" hidden="false" customHeight="false" outlineLevel="0" collapsed="false">
      <c r="A9" s="81" t="s">
        <v>450</v>
      </c>
      <c r="B9" s="35" t="n">
        <f aca="false">IF(1&gt;Dashboard!$P$5,"",SUMIFS(Expenses!$F$6:$F$805,Expenses!$A$6:$A$805,"&gt;="&amp;B$5,Expenses!$A$6:$A$805,"&lt;="&amp;EOMONTH(B$5,0))-SUMIFS(Expenses!$F$6:$F$805,Expenses!$E$6:$E$805,Settings!$G$19,Expenses!$A$6:$A$805,"&gt;="&amp;B$5,Expenses!$A$6:$A$805,"&lt;="&amp;EOMONTH(B$5,0)))</f>
        <v>3235.7</v>
      </c>
      <c r="C9" s="35" t="n">
        <f aca="false">IF(2&gt;Dashboard!$P$5,"",SUMIFS(Expenses!$F$6:$F$805,Expenses!$A$6:$A$805,"&gt;="&amp;C$5,Expenses!$A$6:$A$805,"&lt;="&amp;EOMONTH(C$5,0))-SUMIFS(Expenses!$F$6:$F$805,Expenses!$E$6:$E$805,Settings!$G$19,Expenses!$A$6:$A$805,"&gt;="&amp;C$5,Expenses!$A$6:$A$805,"&lt;="&amp;EOMONTH(C$5,0)))</f>
        <v>2299.88</v>
      </c>
      <c r="D9" s="35" t="n">
        <f aca="false">IF(3&gt;Dashboard!$P$5,"",SUMIFS(Expenses!$F$6:$F$805,Expenses!$A$6:$A$805,"&gt;="&amp;D$5,Expenses!$A$6:$A$805,"&lt;="&amp;EOMONTH(D$5,0))-SUMIFS(Expenses!$F$6:$F$805,Expenses!$E$6:$E$805,Settings!$G$19,Expenses!$A$6:$A$805,"&gt;="&amp;D$5,Expenses!$A$6:$A$805,"&lt;="&amp;EOMONTH(D$5,0)))</f>
        <v>4343.02</v>
      </c>
      <c r="E9" s="35" t="n">
        <f aca="false">IF(4&gt;Dashboard!$P$5,"",SUMIFS(Expenses!$F$6:$F$805,Expenses!$A$6:$A$805,"&gt;="&amp;E$5,Expenses!$A$6:$A$805,"&lt;="&amp;EOMONTH(E$5,0))-SUMIFS(Expenses!$F$6:$F$805,Expenses!$E$6:$E$805,Settings!$G$19,Expenses!$A$6:$A$805,"&gt;="&amp;E$5,Expenses!$A$6:$A$805,"&lt;="&amp;EOMONTH(E$5,0)))</f>
        <v>4651.75</v>
      </c>
      <c r="F9" s="35" t="n">
        <f aca="false">IF(5&gt;Dashboard!$P$5,"",SUMIFS(Expenses!$F$6:$F$805,Expenses!$A$6:$A$805,"&gt;="&amp;F$5,Expenses!$A$6:$A$805,"&lt;="&amp;EOMONTH(F$5,0))-SUMIFS(Expenses!$F$6:$F$805,Expenses!$E$6:$E$805,Settings!$G$19,Expenses!$A$6:$A$805,"&gt;="&amp;F$5,Expenses!$A$6:$A$805,"&lt;="&amp;EOMONTH(F$5,0)))</f>
        <v>2342.76</v>
      </c>
      <c r="G9" s="35" t="n">
        <f aca="false">IF(6&gt;Dashboard!$P$5,"",SUMIFS(Expenses!$F$6:$F$805,Expenses!$A$6:$A$805,"&gt;="&amp;G$5,Expenses!$A$6:$A$805,"&lt;="&amp;EOMONTH(G$5,0))-SUMIFS(Expenses!$F$6:$F$805,Expenses!$E$6:$E$805,Settings!$G$19,Expenses!$A$6:$A$805,"&gt;="&amp;G$5,Expenses!$A$6:$A$805,"&lt;="&amp;EOMONTH(G$5,0)))</f>
        <v>2547.87</v>
      </c>
      <c r="H9" s="35" t="n">
        <f aca="false">IF(7&gt;Dashboard!$P$5,"",SUMIFS(Expenses!$F$6:$F$805,Expenses!$A$6:$A$805,"&gt;="&amp;H$5,Expenses!$A$6:$A$805,"&lt;="&amp;EOMONTH(H$5,0))-SUMIFS(Expenses!$F$6:$F$805,Expenses!$E$6:$E$805,Settings!$G$19,Expenses!$A$6:$A$805,"&gt;="&amp;H$5,Expenses!$A$6:$A$805,"&lt;="&amp;EOMONTH(H$5,0)))</f>
        <v>2427.54</v>
      </c>
      <c r="I9" s="35" t="n">
        <f aca="false">IF(8&gt;Dashboard!$P$5,"",SUMIFS(Expenses!$F$6:$F$805,Expenses!$A$6:$A$805,"&gt;="&amp;I$5,Expenses!$A$6:$A$805,"&lt;="&amp;EOMONTH(I$5,0))-SUMIFS(Expenses!$F$6:$F$805,Expenses!$E$6:$E$805,Settings!$G$19,Expenses!$A$6:$A$805,"&gt;="&amp;I$5,Expenses!$A$6:$A$805,"&lt;="&amp;EOMONTH(I$5,0)))</f>
        <v>2952.97</v>
      </c>
      <c r="J9" s="35" t="n">
        <f aca="false">IF(9&gt;Dashboard!$P$5,"",SUMIFS(Expenses!$F$6:$F$805,Expenses!$A$6:$A$805,"&gt;="&amp;J$5,Expenses!$A$6:$A$805,"&lt;="&amp;EOMONTH(J$5,0))-SUMIFS(Expenses!$F$6:$F$805,Expenses!$E$6:$E$805,Settings!$G$19,Expenses!$A$6:$A$805,"&gt;="&amp;J$5,Expenses!$A$6:$A$805,"&lt;="&amp;EOMONTH(J$5,0)))</f>
        <v>2396.36</v>
      </c>
      <c r="K9" s="35" t="str">
        <f aca="false">IF(10&gt;Dashboard!$P$5,"",SUMIFS(Expenses!$F$6:$F$805,Expenses!$A$6:$A$805,"&gt;="&amp;K$5,Expenses!$A$6:$A$805,"&lt;="&amp;EOMONTH(K$5,0))-SUMIFS(Expenses!$F$6:$F$805,Expenses!$E$6:$E$805,Settings!$G$19,Expenses!$A$6:$A$805,"&gt;="&amp;K$5,Expenses!$A$6:$A$805,"&lt;="&amp;EOMONTH(K$5,0)))</f>
        <v/>
      </c>
      <c r="L9" s="35" t="str">
        <f aca="false">IF(11&gt;Dashboard!$P$5,"",SUMIFS(Expenses!$F$6:$F$805,Expenses!$A$6:$A$805,"&gt;="&amp;L$5,Expenses!$A$6:$A$805,"&lt;="&amp;EOMONTH(L$5,0))-SUMIFS(Expenses!$F$6:$F$805,Expenses!$E$6:$E$805,Settings!$G$19,Expenses!$A$6:$A$805,"&gt;="&amp;L$5,Expenses!$A$6:$A$805,"&lt;="&amp;EOMONTH(L$5,0)))</f>
        <v/>
      </c>
      <c r="M9" s="35" t="str">
        <f aca="false">IF(12&gt;Dashboard!$P$5,"",SUMIFS(Expenses!$F$6:$F$805,Expenses!$A$6:$A$805,"&gt;="&amp;M$5,Expenses!$A$6:$A$805,"&lt;="&amp;EOMONTH(M$5,0))-SUMIFS(Expenses!$F$6:$F$805,Expenses!$E$6:$E$805,Settings!$G$19,Expenses!$A$6:$A$805,"&gt;="&amp;M$5,Expenses!$A$6:$A$805,"&lt;="&amp;EOMONTH(M$5,0)))</f>
        <v/>
      </c>
      <c r="N9" s="55" t="n">
        <f aca="false">SUM(B9:M9)</f>
        <v>27197.85</v>
      </c>
    </row>
    <row r="10" customFormat="false" ht="15" hidden="false" customHeight="false" outlineLevel="0" collapsed="false">
      <c r="A10" s="81" t="s">
        <v>451</v>
      </c>
      <c r="B10" s="35" t="n">
        <f aca="false">IF(1&gt;Dashboard!$P$5,"",SUMIFS(Expenses!$F$6:$F$805,Expenses!$D$6:$D$805,Settings!$B$16,Expenses!$A$6:$A$805,"&gt;="&amp;B$5,Expenses!$A$6:$A$805,"&lt;="&amp;EOMONTH(B$5,0)))</f>
        <v>4500</v>
      </c>
      <c r="C10" s="35" t="n">
        <f aca="false">IF(2&gt;Dashboard!$P$5,"",SUMIFS(Expenses!$F$6:$F$805,Expenses!$D$6:$D$805,Settings!$B$16,Expenses!$A$6:$A$805,"&gt;="&amp;C$5,Expenses!$A$6:$A$805,"&lt;="&amp;EOMONTH(C$5,0)))</f>
        <v>4500</v>
      </c>
      <c r="D10" s="35" t="n">
        <f aca="false">IF(3&gt;Dashboard!$P$5,"",SUMIFS(Expenses!$F$6:$F$805,Expenses!$D$6:$D$805,Settings!$B$16,Expenses!$A$6:$A$805,"&gt;="&amp;D$5,Expenses!$A$6:$A$805,"&lt;="&amp;EOMONTH(D$5,0)))</f>
        <v>4500</v>
      </c>
      <c r="E10" s="35" t="n">
        <f aca="false">IF(4&gt;Dashboard!$P$5,"",SUMIFS(Expenses!$F$6:$F$805,Expenses!$D$6:$D$805,Settings!$B$16,Expenses!$A$6:$A$805,"&gt;="&amp;E$5,Expenses!$A$6:$A$805,"&lt;="&amp;EOMONTH(E$5,0)))</f>
        <v>4500</v>
      </c>
      <c r="F10" s="35" t="n">
        <f aca="false">IF(5&gt;Dashboard!$P$5,"",SUMIFS(Expenses!$F$6:$F$805,Expenses!$D$6:$D$805,Settings!$B$16,Expenses!$A$6:$A$805,"&gt;="&amp;F$5,Expenses!$A$6:$A$805,"&lt;="&amp;EOMONTH(F$5,0)))</f>
        <v>4500</v>
      </c>
      <c r="G10" s="35" t="n">
        <f aca="false">IF(6&gt;Dashboard!$P$5,"",SUMIFS(Expenses!$F$6:$F$805,Expenses!$D$6:$D$805,Settings!$B$16,Expenses!$A$6:$A$805,"&gt;="&amp;G$5,Expenses!$A$6:$A$805,"&lt;="&amp;EOMONTH(G$5,0)))</f>
        <v>4500</v>
      </c>
      <c r="H10" s="35" t="n">
        <f aca="false">IF(7&gt;Dashboard!$P$5,"",SUMIFS(Expenses!$F$6:$F$805,Expenses!$D$6:$D$805,Settings!$B$16,Expenses!$A$6:$A$805,"&gt;="&amp;H$5,Expenses!$A$6:$A$805,"&lt;="&amp;EOMONTH(H$5,0)))</f>
        <v>4500</v>
      </c>
      <c r="I10" s="35" t="n">
        <f aca="false">IF(8&gt;Dashboard!$P$5,"",SUMIFS(Expenses!$F$6:$F$805,Expenses!$D$6:$D$805,Settings!$B$16,Expenses!$A$6:$A$805,"&gt;="&amp;I$5,Expenses!$A$6:$A$805,"&lt;="&amp;EOMONTH(I$5,0)))</f>
        <v>4500</v>
      </c>
      <c r="J10" s="35" t="n">
        <f aca="false">IF(9&gt;Dashboard!$P$5,"",SUMIFS(Expenses!$F$6:$F$805,Expenses!$D$6:$D$805,Settings!$B$16,Expenses!$A$6:$A$805,"&gt;="&amp;J$5,Expenses!$A$6:$A$805,"&lt;="&amp;EOMONTH(J$5,0)))</f>
        <v>4500</v>
      </c>
      <c r="K10" s="35" t="str">
        <f aca="false">IF(10&gt;Dashboard!$P$5,"",SUMIFS(Expenses!$F$6:$F$805,Expenses!$D$6:$D$805,Settings!$B$16,Expenses!$A$6:$A$805,"&gt;="&amp;K$5,Expenses!$A$6:$A$805,"&lt;="&amp;EOMONTH(K$5,0)))</f>
        <v/>
      </c>
      <c r="L10" s="35" t="str">
        <f aca="false">IF(11&gt;Dashboard!$P$5,"",SUMIFS(Expenses!$F$6:$F$805,Expenses!$D$6:$D$805,Settings!$B$16,Expenses!$A$6:$A$805,"&gt;="&amp;L$5,Expenses!$A$6:$A$805,"&lt;="&amp;EOMONTH(L$5,0)))</f>
        <v/>
      </c>
      <c r="M10" s="35" t="str">
        <f aca="false">IF(12&gt;Dashboard!$P$5,"",SUMIFS(Expenses!$F$6:$F$805,Expenses!$D$6:$D$805,Settings!$B$16,Expenses!$A$6:$A$805,"&gt;="&amp;M$5,Expenses!$A$6:$A$805,"&lt;="&amp;EOMONTH(M$5,0)))</f>
        <v/>
      </c>
      <c r="N10" s="55" t="n">
        <f aca="false">SUM(B10:M10)</f>
        <v>40500</v>
      </c>
    </row>
    <row r="11" customFormat="false" ht="15" hidden="false" customHeight="false" outlineLevel="0" collapsed="false">
      <c r="A11" s="81" t="s">
        <v>452</v>
      </c>
      <c r="B11" s="35" t="n">
        <f aca="false">IF(1&gt;Dashboard!$P$5,"",SUMIFS(Expenses!$F$6:$F$805,Expenses!$D$6:$D$805,Settings!$B$17,Expenses!$A$6:$A$805,"&gt;="&amp;B$5,Expenses!$A$6:$A$805,"&lt;="&amp;EOMONTH(B$5,0)))</f>
        <v>0</v>
      </c>
      <c r="C11" s="35" t="n">
        <f aca="false">IF(2&gt;Dashboard!$P$5,"",SUMIFS(Expenses!$F$6:$F$805,Expenses!$D$6:$D$805,Settings!$B$17,Expenses!$A$6:$A$805,"&gt;="&amp;C$5,Expenses!$A$6:$A$805,"&lt;="&amp;EOMONTH(C$5,0)))</f>
        <v>0</v>
      </c>
      <c r="D11" s="35" t="n">
        <f aca="false">IF(3&gt;Dashboard!$P$5,"",SUMIFS(Expenses!$F$6:$F$805,Expenses!$D$6:$D$805,Settings!$B$17,Expenses!$A$6:$A$805,"&gt;="&amp;D$5,Expenses!$A$6:$A$805,"&lt;="&amp;EOMONTH(D$5,0)))</f>
        <v>0</v>
      </c>
      <c r="E11" s="35" t="n">
        <f aca="false">IF(4&gt;Dashboard!$P$5,"",SUMIFS(Expenses!$F$6:$F$805,Expenses!$D$6:$D$805,Settings!$B$17,Expenses!$A$6:$A$805,"&gt;="&amp;E$5,Expenses!$A$6:$A$805,"&lt;="&amp;EOMONTH(E$5,0)))</f>
        <v>4500</v>
      </c>
      <c r="F11" s="35" t="n">
        <f aca="false">IF(5&gt;Dashboard!$P$5,"",SUMIFS(Expenses!$F$6:$F$805,Expenses!$D$6:$D$805,Settings!$B$17,Expenses!$A$6:$A$805,"&gt;="&amp;F$5,Expenses!$A$6:$A$805,"&lt;="&amp;EOMONTH(F$5,0)))</f>
        <v>0</v>
      </c>
      <c r="G11" s="35" t="n">
        <f aca="false">IF(6&gt;Dashboard!$P$5,"",SUMIFS(Expenses!$F$6:$F$805,Expenses!$D$6:$D$805,Settings!$B$17,Expenses!$A$6:$A$805,"&gt;="&amp;G$5,Expenses!$A$6:$A$805,"&lt;="&amp;EOMONTH(G$5,0)))</f>
        <v>4500</v>
      </c>
      <c r="H11" s="35" t="n">
        <f aca="false">IF(7&gt;Dashboard!$P$5,"",SUMIFS(Expenses!$F$6:$F$805,Expenses!$D$6:$D$805,Settings!$B$17,Expenses!$A$6:$A$805,"&gt;="&amp;H$5,Expenses!$A$6:$A$805,"&lt;="&amp;EOMONTH(H$5,0)))</f>
        <v>0</v>
      </c>
      <c r="I11" s="35" t="n">
        <f aca="false">IF(8&gt;Dashboard!$P$5,"",SUMIFS(Expenses!$F$6:$F$805,Expenses!$D$6:$D$805,Settings!$B$17,Expenses!$A$6:$A$805,"&gt;="&amp;I$5,Expenses!$A$6:$A$805,"&lt;="&amp;EOMONTH(I$5,0)))</f>
        <v>0</v>
      </c>
      <c r="J11" s="35" t="n">
        <f aca="false">IF(9&gt;Dashboard!$P$5,"",SUMIFS(Expenses!$F$6:$F$805,Expenses!$D$6:$D$805,Settings!$B$17,Expenses!$A$6:$A$805,"&gt;="&amp;J$5,Expenses!$A$6:$A$805,"&lt;="&amp;EOMONTH(J$5,0)))</f>
        <v>4500</v>
      </c>
      <c r="K11" s="35" t="str">
        <f aca="false">IF(10&gt;Dashboard!$P$5,"",SUMIFS(Expenses!$F$6:$F$805,Expenses!$D$6:$D$805,Settings!$B$17,Expenses!$A$6:$A$805,"&gt;="&amp;K$5,Expenses!$A$6:$A$805,"&lt;="&amp;EOMONTH(K$5,0)))</f>
        <v/>
      </c>
      <c r="L11" s="35" t="str">
        <f aca="false">IF(11&gt;Dashboard!$P$5,"",SUMIFS(Expenses!$F$6:$F$805,Expenses!$D$6:$D$805,Settings!$B$17,Expenses!$A$6:$A$805,"&gt;="&amp;L$5,Expenses!$A$6:$A$805,"&lt;="&amp;EOMONTH(L$5,0)))</f>
        <v/>
      </c>
      <c r="M11" s="35" t="str">
        <f aca="false">IF(12&gt;Dashboard!$P$5,"",SUMIFS(Expenses!$F$6:$F$805,Expenses!$D$6:$D$805,Settings!$B$17,Expenses!$A$6:$A$805,"&gt;="&amp;M$5,Expenses!$A$6:$A$805,"&lt;="&amp;EOMONTH(M$5,0)))</f>
        <v/>
      </c>
      <c r="N11" s="55" t="n">
        <f aca="false">SUM(B11:M11)</f>
        <v>13500</v>
      </c>
    </row>
    <row r="12" customFormat="false" ht="15" hidden="false" customHeight="false" outlineLevel="0" collapsed="false">
      <c r="A12" s="50" t="s">
        <v>453</v>
      </c>
      <c r="B12" s="85" t="n">
        <f aca="false">IF(1&gt;Dashboard!$P$5,"",B8-B9-B10-B11)</f>
        <v>-2035.7</v>
      </c>
      <c r="C12" s="85" t="n">
        <f aca="false">IF(2&gt;Dashboard!$P$5,"",C8-C9-C10-C11)</f>
        <v>2275.12</v>
      </c>
      <c r="D12" s="85" t="n">
        <f aca="false">IF(3&gt;Dashboard!$P$5,"",D8-D9-D10-D11)</f>
        <v>7584.48</v>
      </c>
      <c r="E12" s="85" t="n">
        <f aca="false">IF(4&gt;Dashboard!$P$5,"",E8-E9-E10-E11)</f>
        <v>-5201.75</v>
      </c>
      <c r="F12" s="85" t="n">
        <f aca="false">IF(5&gt;Dashboard!$P$5,"",F8-F9-F10-F11)</f>
        <v>5579.74</v>
      </c>
      <c r="G12" s="85" t="n">
        <f aca="false">IF(6&gt;Dashboard!$P$5,"",G8-G9-G10-G11)</f>
        <v>3955.88</v>
      </c>
      <c r="H12" s="85" t="n">
        <f aca="false">IF(7&gt;Dashboard!$P$5,"",H8-H9-H10-H11)</f>
        <v>7204.96</v>
      </c>
      <c r="I12" s="85" t="n">
        <f aca="false">IF(8&gt;Dashboard!$P$5,"",I8-I9-I10-I11)</f>
        <v>7510.78</v>
      </c>
      <c r="J12" s="85" t="n">
        <f aca="false">IF(9&gt;Dashboard!$P$5,"",J8-J9-J10-J11)</f>
        <v>1288.64</v>
      </c>
      <c r="K12" s="85" t="str">
        <f aca="false">IF(10&gt;Dashboard!$P$5,"",K8-K9-K10-K11)</f>
        <v/>
      </c>
      <c r="L12" s="85" t="str">
        <f aca="false">IF(11&gt;Dashboard!$P$5,"",L8-L9-L10-L11)</f>
        <v/>
      </c>
      <c r="M12" s="85" t="str">
        <f aca="false">IF(12&gt;Dashboard!$P$5,"",M8-M9-M10-M11)</f>
        <v/>
      </c>
      <c r="N12" s="85" t="n">
        <f aca="false">SUM(B12:M12)</f>
        <v>28162.15</v>
      </c>
    </row>
    <row r="13" customFormat="false" ht="15" hidden="false" customHeight="false" outlineLevel="0" collapsed="false">
      <c r="A13" s="82" t="s">
        <v>454</v>
      </c>
      <c r="B13" s="83" t="n">
        <f aca="false">IF(1&gt;Dashboard!$P$5,"",B7+B12)</f>
        <v>12964.3</v>
      </c>
      <c r="C13" s="83" t="n">
        <f aca="false">IF(2&gt;Dashboard!$P$5,"",C7+C12)</f>
        <v>15239.42</v>
      </c>
      <c r="D13" s="83" t="n">
        <f aca="false">IF(3&gt;Dashboard!$P$5,"",D7+D12)</f>
        <v>22823.9</v>
      </c>
      <c r="E13" s="83" t="n">
        <f aca="false">IF(4&gt;Dashboard!$P$5,"",E7+E12)</f>
        <v>17622.15</v>
      </c>
      <c r="F13" s="83" t="n">
        <f aca="false">IF(5&gt;Dashboard!$P$5,"",F7+F12)</f>
        <v>23201.89</v>
      </c>
      <c r="G13" s="83" t="n">
        <f aca="false">IF(6&gt;Dashboard!$P$5,"",G7+G12)</f>
        <v>27157.77</v>
      </c>
      <c r="H13" s="83" t="n">
        <f aca="false">IF(7&gt;Dashboard!$P$5,"",H7+H12)</f>
        <v>34362.73</v>
      </c>
      <c r="I13" s="83" t="n">
        <f aca="false">IF(8&gt;Dashboard!$P$5,"",I7+I12)</f>
        <v>41873.51</v>
      </c>
      <c r="J13" s="83" t="n">
        <f aca="false">IF(9&gt;Dashboard!$P$5,"",J7+J12)</f>
        <v>43162.15</v>
      </c>
      <c r="K13" s="83" t="str">
        <f aca="false">IF(10&gt;Dashboard!$P$5,"",K7+K12)</f>
        <v/>
      </c>
      <c r="L13" s="83" t="str">
        <f aca="false">IF(11&gt;Dashboard!$P$5,"",L7+L12)</f>
        <v/>
      </c>
      <c r="M13" s="83" t="str">
        <f aca="false">IF(12&gt;Dashboard!$P$5,"",M7+M12)</f>
        <v/>
      </c>
      <c r="N13" s="92"/>
    </row>
    <row r="15" customFormat="false" ht="15" hidden="false" customHeight="false" outlineLevel="0" collapsed="false">
      <c r="A15" s="28" t="s">
        <v>455</v>
      </c>
      <c r="B15" s="6"/>
      <c r="C15" s="6"/>
      <c r="D15" s="6"/>
      <c r="E15" s="6"/>
      <c r="F15" s="6"/>
      <c r="G15" s="6"/>
      <c r="H15" s="6"/>
      <c r="I15" s="6"/>
      <c r="J15" s="6"/>
      <c r="K15" s="6"/>
      <c r="L15" s="6"/>
      <c r="M15" s="6"/>
      <c r="N15" s="6"/>
    </row>
    <row r="16" customFormat="false" ht="15" hidden="false" customHeight="false" outlineLevel="0" collapsed="false">
      <c r="A16" s="81" t="s">
        <v>456</v>
      </c>
      <c r="B16" s="91" t="n">
        <f aca="false">IF(1&gt;Dashboard!$P$5,"",B8-B9)</f>
        <v>2464.3</v>
      </c>
      <c r="C16" s="91" t="n">
        <f aca="false">IF(2&gt;Dashboard!$P$5,"",C8-C9)</f>
        <v>6775.12</v>
      </c>
      <c r="D16" s="91" t="n">
        <f aca="false">IF(3&gt;Dashboard!$P$5,"",D8-D9)</f>
        <v>12084.48</v>
      </c>
      <c r="E16" s="91" t="n">
        <f aca="false">IF(4&gt;Dashboard!$P$5,"",E8-E9)</f>
        <v>3798.25</v>
      </c>
      <c r="F16" s="91" t="n">
        <f aca="false">IF(5&gt;Dashboard!$P$5,"",F8-F9)</f>
        <v>10079.74</v>
      </c>
      <c r="G16" s="91" t="n">
        <f aca="false">IF(6&gt;Dashboard!$P$5,"",G8-G9)</f>
        <v>12955.88</v>
      </c>
      <c r="H16" s="91" t="n">
        <f aca="false">IF(7&gt;Dashboard!$P$5,"",H8-H9)</f>
        <v>11704.96</v>
      </c>
      <c r="I16" s="91" t="n">
        <f aca="false">IF(8&gt;Dashboard!$P$5,"",I8-I9)</f>
        <v>12010.78</v>
      </c>
      <c r="J16" s="91" t="n">
        <f aca="false">IF(9&gt;Dashboard!$P$5,"",J8-J9)</f>
        <v>10288.64</v>
      </c>
      <c r="K16" s="91" t="str">
        <f aca="false">IF(10&gt;Dashboard!$P$5,"",K8-K9)</f>
        <v/>
      </c>
      <c r="L16" s="91" t="str">
        <f aca="false">IF(11&gt;Dashboard!$P$5,"",L8-L9)</f>
        <v/>
      </c>
      <c r="M16" s="91" t="str">
        <f aca="false">IF(12&gt;Dashboard!$P$5,"",M8-M9)</f>
        <v/>
      </c>
      <c r="N16" s="85" t="n">
        <f aca="false">SUM(B16:M16)</f>
        <v>82162.15</v>
      </c>
    </row>
    <row r="17" customFormat="false" ht="15" hidden="false" customHeight="false" outlineLevel="0" collapsed="false">
      <c r="A17" s="81" t="s">
        <v>457</v>
      </c>
      <c r="B17" s="35" t="n">
        <f aca="false">IF(1&gt;Dashboard!$P$5,"",MAX(0,B16)*Settings!$C$8)</f>
        <v>690.004</v>
      </c>
      <c r="C17" s="35" t="n">
        <f aca="false">IF(2&gt;Dashboard!$P$5,"",MAX(0,C16)*Settings!$C$8)</f>
        <v>1897.0336</v>
      </c>
      <c r="D17" s="35" t="n">
        <f aca="false">IF(3&gt;Dashboard!$P$5,"",MAX(0,D16)*Settings!$C$8)</f>
        <v>3383.6544</v>
      </c>
      <c r="E17" s="35" t="n">
        <f aca="false">IF(4&gt;Dashboard!$P$5,"",MAX(0,E16)*Settings!$C$8)</f>
        <v>1063.51</v>
      </c>
      <c r="F17" s="35" t="n">
        <f aca="false">IF(5&gt;Dashboard!$P$5,"",MAX(0,F16)*Settings!$C$8)</f>
        <v>2822.3272</v>
      </c>
      <c r="G17" s="35" t="n">
        <f aca="false">IF(6&gt;Dashboard!$P$5,"",MAX(0,G16)*Settings!$C$8)</f>
        <v>3627.6464</v>
      </c>
      <c r="H17" s="35" t="n">
        <f aca="false">IF(7&gt;Dashboard!$P$5,"",MAX(0,H16)*Settings!$C$8)</f>
        <v>3277.3888</v>
      </c>
      <c r="I17" s="35" t="n">
        <f aca="false">IF(8&gt;Dashboard!$P$5,"",MAX(0,I16)*Settings!$C$8)</f>
        <v>3363.0184</v>
      </c>
      <c r="J17" s="35" t="n">
        <f aca="false">IF(9&gt;Dashboard!$P$5,"",MAX(0,J16)*Settings!$C$8)</f>
        <v>2880.8192</v>
      </c>
      <c r="K17" s="35" t="str">
        <f aca="false">IF(10&gt;Dashboard!$P$5,"",MAX(0,K16)*Settings!$C$8)</f>
        <v/>
      </c>
      <c r="L17" s="35" t="str">
        <f aca="false">IF(11&gt;Dashboard!$P$5,"",MAX(0,L16)*Settings!$C$8)</f>
        <v/>
      </c>
      <c r="M17" s="35" t="str">
        <f aca="false">IF(12&gt;Dashboard!$P$5,"",MAX(0,M16)*Settings!$C$8)</f>
        <v/>
      </c>
      <c r="N17" s="55" t="n">
        <f aca="false">SUM(B17:M17)</f>
        <v>23005.402</v>
      </c>
    </row>
    <row r="18" customFormat="false" ht="15" hidden="false" customHeight="false" outlineLevel="0" collapsed="false">
      <c r="A18" s="50" t="s">
        <v>458</v>
      </c>
      <c r="B18" s="55" t="n">
        <f aca="false">IF(1&gt;Dashboard!$P$5,"",B17-B11)</f>
        <v>690.004</v>
      </c>
      <c r="C18" s="55" t="n">
        <f aca="false">IF(2&gt;Dashboard!$P$5,"",B18+C17-C11)</f>
        <v>2587.0376</v>
      </c>
      <c r="D18" s="55" t="n">
        <f aca="false">IF(3&gt;Dashboard!$P$5,"",C18+D17-D11)</f>
        <v>5970.692</v>
      </c>
      <c r="E18" s="55" t="n">
        <f aca="false">IF(4&gt;Dashboard!$P$5,"",D18+E17-E11)</f>
        <v>2534.202</v>
      </c>
      <c r="F18" s="55" t="n">
        <f aca="false">IF(5&gt;Dashboard!$P$5,"",E18+F17-F11)</f>
        <v>5356.5292</v>
      </c>
      <c r="G18" s="55" t="n">
        <f aca="false">IF(6&gt;Dashboard!$P$5,"",F18+G17-G11)</f>
        <v>4484.1756</v>
      </c>
      <c r="H18" s="55" t="n">
        <f aca="false">IF(7&gt;Dashboard!$P$5,"",G18+H17-H11)</f>
        <v>7761.5644</v>
      </c>
      <c r="I18" s="55" t="n">
        <f aca="false">IF(8&gt;Dashboard!$P$5,"",H18+I17-I11)</f>
        <v>11124.5828</v>
      </c>
      <c r="J18" s="55" t="n">
        <f aca="false">IF(9&gt;Dashboard!$P$5,"",I18+J17-J11)</f>
        <v>9505.402</v>
      </c>
      <c r="K18" s="55" t="str">
        <f aca="false">IF(10&gt;Dashboard!$P$5,"",J18+K17-K11)</f>
        <v/>
      </c>
      <c r="L18" s="55" t="str">
        <f aca="false">IF(11&gt;Dashboard!$P$5,"",K18+L17-L11)</f>
        <v/>
      </c>
      <c r="M18" s="55" t="str">
        <f aca="false">IF(12&gt;Dashboard!$P$5,"",L18+M17-M11)</f>
        <v/>
      </c>
    </row>
    <row r="19" customFormat="false" ht="15" hidden="false" customHeight="false" outlineLevel="0" collapsed="false">
      <c r="A19" s="82" t="s">
        <v>459</v>
      </c>
      <c r="B19" s="87" t="n">
        <f aca="false">IF(1&gt;Dashboard!$P$5,"",B13-B18)</f>
        <v>12274.296</v>
      </c>
      <c r="C19" s="87" t="n">
        <f aca="false">IF(2&gt;Dashboard!$P$5,"",C13-C18)</f>
        <v>12652.3824</v>
      </c>
      <c r="D19" s="87" t="n">
        <f aca="false">IF(3&gt;Dashboard!$P$5,"",D13-D18)</f>
        <v>16853.208</v>
      </c>
      <c r="E19" s="87" t="n">
        <f aca="false">IF(4&gt;Dashboard!$P$5,"",E13-E18)</f>
        <v>15087.948</v>
      </c>
      <c r="F19" s="87" t="n">
        <f aca="false">IF(5&gt;Dashboard!$P$5,"",F13-F18)</f>
        <v>17845.3608</v>
      </c>
      <c r="G19" s="87" t="n">
        <f aca="false">IF(6&gt;Dashboard!$P$5,"",G13-G18)</f>
        <v>22673.5944</v>
      </c>
      <c r="H19" s="87" t="n">
        <f aca="false">IF(7&gt;Dashboard!$P$5,"",H13-H18)</f>
        <v>26601.1656</v>
      </c>
      <c r="I19" s="87" t="n">
        <f aca="false">IF(8&gt;Dashboard!$P$5,"",I13-I18)</f>
        <v>30748.9272</v>
      </c>
      <c r="J19" s="87" t="n">
        <f aca="false">IF(9&gt;Dashboard!$P$5,"",J13-J18)</f>
        <v>33656.748</v>
      </c>
      <c r="K19" s="87" t="str">
        <f aca="false">IF(10&gt;Dashboard!$P$5,"",K13-K18)</f>
        <v/>
      </c>
      <c r="L19" s="87" t="str">
        <f aca="false">IF(11&gt;Dashboard!$P$5,"",L13-L18)</f>
        <v/>
      </c>
      <c r="M19" s="87" t="str">
        <f aca="false">IF(12&gt;Dashboard!$P$5,"",M13-M18)</f>
        <v/>
      </c>
      <c r="N19" s="92"/>
    </row>
    <row r="20" customFormat="false" ht="15" hidden="false" customHeight="false" outlineLevel="0" collapsed="false">
      <c r="A20" s="81" t="s">
        <v>460</v>
      </c>
      <c r="B20" s="94" t="n">
        <f aca="false">IF(1&gt;Dashboard!$P$5,"",IF(SUM($B9:B9)+SUM($B10:B10)=0,"",B19/((SUM($B9:B9)+SUM($B10:B10))/1)))</f>
        <v>1.58670786095635</v>
      </c>
      <c r="C20" s="94" t="n">
        <f aca="false">IF(2&gt;Dashboard!$P$5,"",IF(SUM($B9:C9)+SUM($B10:C10)=0,"",C19/((SUM($B9:C9)+SUM($B10:C10))/2)))</f>
        <v>1.7408844229126</v>
      </c>
      <c r="D20" s="94" t="n">
        <f aca="false">IF(3&gt;Dashboard!$P$5,"",IF(SUM($B9:D9)+SUM($B10:D10)=0,"",D19/((SUM($B9:D9)+SUM($B10:D10))/3)))</f>
        <v>2.16264549630859</v>
      </c>
      <c r="E20" s="94" t="n">
        <f aca="false">IF(4&gt;Dashboard!$P$5,"",IF(SUM($B9:E9)+SUM($B10:E10)=0,"",E19/((SUM($B9:E9)+SUM($B10:E10))/4)))</f>
        <v>1.855245701322</v>
      </c>
      <c r="F20" s="94" t="n">
        <f aca="false">IF(5&gt;Dashboard!$P$5,"",IF(SUM($B9:F9)+SUM($B10:F10)=0,"",F19/((SUM($B9:F9)+SUM($B10:F10))/5)))</f>
        <v>2.26618633884903</v>
      </c>
      <c r="G20" s="94" t="n">
        <f aca="false">IF(6&gt;Dashboard!$P$5,"",IF(SUM($B9:G9)+SUM($B10:G10)=0,"",G19/((SUM($B9:G9)+SUM($B10:G10))/6)))</f>
        <v>2.93060522203538</v>
      </c>
      <c r="H20" s="94" t="n">
        <f aca="false">IF(7&gt;Dashboard!$P$5,"",IF(SUM($B9:H9)+SUM($B10:H10)=0,"",H19/((SUM($B9:H9)+SUM($B10:H10))/7)))</f>
        <v>3.49040909101133</v>
      </c>
      <c r="I20" s="94" t="n">
        <f aca="false">IF(8&gt;Dashboard!$P$5,"",IF(SUM($B9:I9)+SUM($B10:I10)=0,"",I19/((SUM($B9:I9)+SUM($B10:I10))/8)))</f>
        <v>4.04581232466507</v>
      </c>
      <c r="J20" s="94" t="n">
        <f aca="false">IF(9&gt;Dashboard!$P$5,"",IF(SUM($B9:J9)+SUM($B10:J10)=0,"",J19/((SUM($B9:J9)+SUM($B10:J10))/9)))</f>
        <v>4.47445128611913</v>
      </c>
      <c r="K20" s="94" t="str">
        <f aca="false">IF(10&gt;Dashboard!$P$5,"",IF(SUM($B9:K9)+SUM($B10:K10)=0,"",K19/((SUM($B9:K9)+SUM($B10:K10))/10)))</f>
        <v/>
      </c>
      <c r="L20" s="94" t="str">
        <f aca="false">IF(11&gt;Dashboard!$P$5,"",IF(SUM($B9:L9)+SUM($B10:L10)=0,"",L19/((SUM($B9:L9)+SUM($B10:L10))/11)))</f>
        <v/>
      </c>
      <c r="M20" s="94" t="str">
        <f aca="false">IF(12&gt;Dashboard!$P$5,"",IF(SUM($B9:M9)+SUM($B10:M10)=0,"",M19/((SUM($B9:M9)+SUM($B10:M10))/12)))</f>
        <v/>
      </c>
    </row>
    <row r="22" customFormat="false" ht="15" hidden="false" customHeight="false" outlineLevel="0" collapsed="false">
      <c r="A22" s="28" t="s">
        <v>461</v>
      </c>
      <c r="B22" s="6"/>
      <c r="C22" s="6"/>
      <c r="D22" s="6"/>
      <c r="E22" s="6"/>
      <c r="F22" s="6"/>
      <c r="G22" s="6"/>
      <c r="H22" s="6"/>
      <c r="I22" s="6"/>
      <c r="J22" s="6"/>
      <c r="K22" s="6"/>
      <c r="L22" s="6"/>
      <c r="M22" s="6"/>
      <c r="N22" s="6"/>
    </row>
    <row r="23" customFormat="false" ht="15" hidden="false" customHeight="false" outlineLevel="0" collapsed="false">
      <c r="A23" s="50" t="s">
        <v>462</v>
      </c>
      <c r="B23" s="53" t="n">
        <v>12500</v>
      </c>
      <c r="C23" s="53" t="n">
        <v>12500</v>
      </c>
      <c r="D23" s="53" t="n">
        <v>12500</v>
      </c>
      <c r="E23" s="53" t="n">
        <v>12500</v>
      </c>
      <c r="F23" s="53" t="n">
        <v>12500</v>
      </c>
      <c r="G23" s="53" t="n">
        <v>12500</v>
      </c>
      <c r="H23" s="53" t="n">
        <v>12500</v>
      </c>
      <c r="I23" s="53" t="n">
        <v>12500</v>
      </c>
      <c r="J23" s="53" t="n">
        <v>12500</v>
      </c>
      <c r="K23" s="53" t="n">
        <v>12500</v>
      </c>
      <c r="L23" s="53" t="n">
        <v>12500</v>
      </c>
      <c r="M23" s="53" t="n">
        <v>12500</v>
      </c>
      <c r="N23" s="55" t="n">
        <f aca="false">SUM(B23:M23)</f>
        <v>150000</v>
      </c>
    </row>
    <row r="24" customFormat="false" ht="15" hidden="false" customHeight="false" outlineLevel="0" collapsed="false">
      <c r="A24" s="81" t="s">
        <v>463</v>
      </c>
      <c r="B24" s="35" t="n">
        <f aca="false">Settings!$C$12</f>
        <v>2970</v>
      </c>
      <c r="C24" s="35" t="n">
        <f aca="false">Settings!$C$12</f>
        <v>2970</v>
      </c>
      <c r="D24" s="35" t="n">
        <f aca="false">Settings!$C$12</f>
        <v>2970</v>
      </c>
      <c r="E24" s="35" t="n">
        <f aca="false">Settings!$C$12</f>
        <v>2970</v>
      </c>
      <c r="F24" s="35" t="n">
        <f aca="false">Settings!$C$12</f>
        <v>2970</v>
      </c>
      <c r="G24" s="35" t="n">
        <f aca="false">Settings!$C$12</f>
        <v>2970</v>
      </c>
      <c r="H24" s="35" t="n">
        <f aca="false">Settings!$C$12</f>
        <v>2970</v>
      </c>
      <c r="I24" s="35" t="n">
        <f aca="false">Settings!$C$12</f>
        <v>2970</v>
      </c>
      <c r="J24" s="35" t="n">
        <f aca="false">Settings!$C$12</f>
        <v>2970</v>
      </c>
      <c r="K24" s="35" t="n">
        <f aca="false">Settings!$C$12</f>
        <v>2970</v>
      </c>
      <c r="L24" s="35" t="n">
        <f aca="false">Settings!$C$12</f>
        <v>2970</v>
      </c>
      <c r="M24" s="35" t="n">
        <f aca="false">Settings!$C$12</f>
        <v>2970</v>
      </c>
      <c r="N24" s="55" t="n">
        <f aca="false">SUM(B24:M24)</f>
        <v>35640</v>
      </c>
    </row>
    <row r="25" customFormat="false" ht="15" hidden="false" customHeight="false" outlineLevel="0" collapsed="false">
      <c r="A25" s="81" t="s">
        <v>464</v>
      </c>
      <c r="B25" s="35" t="n">
        <f aca="false">Settings!$D$16</f>
        <v>4500</v>
      </c>
      <c r="C25" s="35" t="n">
        <f aca="false">Settings!$D$16</f>
        <v>4500</v>
      </c>
      <c r="D25" s="35" t="n">
        <f aca="false">Settings!$D$16</f>
        <v>4500</v>
      </c>
      <c r="E25" s="35" t="n">
        <f aca="false">Settings!$D$16</f>
        <v>4500</v>
      </c>
      <c r="F25" s="35" t="n">
        <f aca="false">Settings!$D$16</f>
        <v>4500</v>
      </c>
      <c r="G25" s="35" t="n">
        <f aca="false">Settings!$D$16</f>
        <v>4500</v>
      </c>
      <c r="H25" s="35" t="n">
        <f aca="false">Settings!$D$16</f>
        <v>4500</v>
      </c>
      <c r="I25" s="35" t="n">
        <f aca="false">Settings!$D$16</f>
        <v>4500</v>
      </c>
      <c r="J25" s="35" t="n">
        <f aca="false">Settings!$D$16</f>
        <v>4500</v>
      </c>
      <c r="K25" s="35" t="n">
        <f aca="false">Settings!$D$16</f>
        <v>4500</v>
      </c>
      <c r="L25" s="35" t="n">
        <f aca="false">Settings!$D$16</f>
        <v>4500</v>
      </c>
      <c r="M25" s="35" t="n">
        <f aca="false">Settings!$D$16</f>
        <v>4500</v>
      </c>
      <c r="N25" s="55" t="n">
        <f aca="false">SUM(B25:M25)</f>
        <v>54000</v>
      </c>
    </row>
    <row r="26" customFormat="false" ht="15" hidden="false" customHeight="false" outlineLevel="0" collapsed="false">
      <c r="A26" s="81" t="s">
        <v>465</v>
      </c>
      <c r="B26" s="35" t="n">
        <f aca="false">MAX(0,B23-B24)*Settings!$C$8</f>
        <v>2668.4</v>
      </c>
      <c r="C26" s="35" t="n">
        <f aca="false">MAX(0,C23-C24)*Settings!$C$8</f>
        <v>2668.4</v>
      </c>
      <c r="D26" s="35" t="n">
        <f aca="false">MAX(0,D23-D24)*Settings!$C$8</f>
        <v>2668.4</v>
      </c>
      <c r="E26" s="35" t="n">
        <f aca="false">MAX(0,E23-E24)*Settings!$C$8</f>
        <v>2668.4</v>
      </c>
      <c r="F26" s="35" t="n">
        <f aca="false">MAX(0,F23-F24)*Settings!$C$8</f>
        <v>2668.4</v>
      </c>
      <c r="G26" s="35" t="n">
        <f aca="false">MAX(0,G23-G24)*Settings!$C$8</f>
        <v>2668.4</v>
      </c>
      <c r="H26" s="35" t="n">
        <f aca="false">MAX(0,H23-H24)*Settings!$C$8</f>
        <v>2668.4</v>
      </c>
      <c r="I26" s="35" t="n">
        <f aca="false">MAX(0,I23-I24)*Settings!$C$8</f>
        <v>2668.4</v>
      </c>
      <c r="J26" s="35" t="n">
        <f aca="false">MAX(0,J23-J24)*Settings!$C$8</f>
        <v>2668.4</v>
      </c>
      <c r="K26" s="35" t="n">
        <f aca="false">MAX(0,K23-K24)*Settings!$C$8</f>
        <v>2668.4</v>
      </c>
      <c r="L26" s="35" t="n">
        <f aca="false">MAX(0,L23-L24)*Settings!$C$8</f>
        <v>2668.4</v>
      </c>
      <c r="M26" s="35" t="n">
        <f aca="false">MAX(0,M23-M24)*Settings!$C$8</f>
        <v>2668.4</v>
      </c>
      <c r="N26" s="55" t="n">
        <f aca="false">SUM(B26:M26)</f>
        <v>32020.8</v>
      </c>
    </row>
    <row r="27" customFormat="false" ht="15" hidden="false" customHeight="false" outlineLevel="0" collapsed="false">
      <c r="A27" s="50" t="s">
        <v>466</v>
      </c>
      <c r="B27" s="85" t="n">
        <f aca="false">B23-B24-B25-B26</f>
        <v>2361.6</v>
      </c>
      <c r="C27" s="85" t="n">
        <f aca="false">C23-C24-C25-C26</f>
        <v>2361.6</v>
      </c>
      <c r="D27" s="85" t="n">
        <f aca="false">D23-D24-D25-D26</f>
        <v>2361.6</v>
      </c>
      <c r="E27" s="85" t="n">
        <f aca="false">E23-E24-E25-E26</f>
        <v>2361.6</v>
      </c>
      <c r="F27" s="85" t="n">
        <f aca="false">F23-F24-F25-F26</f>
        <v>2361.6</v>
      </c>
      <c r="G27" s="85" t="n">
        <f aca="false">G23-G24-G25-G26</f>
        <v>2361.6</v>
      </c>
      <c r="H27" s="85" t="n">
        <f aca="false">H23-H24-H25-H26</f>
        <v>2361.6</v>
      </c>
      <c r="I27" s="85" t="n">
        <f aca="false">I23-I24-I25-I26</f>
        <v>2361.6</v>
      </c>
      <c r="J27" s="85" t="n">
        <f aca="false">J23-J24-J25-J26</f>
        <v>2361.6</v>
      </c>
      <c r="K27" s="85" t="n">
        <f aca="false">K23-K24-K25-K26</f>
        <v>2361.6</v>
      </c>
      <c r="L27" s="85" t="n">
        <f aca="false">L23-L24-L25-L26</f>
        <v>2361.6</v>
      </c>
      <c r="M27" s="85" t="n">
        <f aca="false">M23-M24-M25-M26</f>
        <v>2361.6</v>
      </c>
      <c r="N27" s="85" t="n">
        <f aca="false">SUM(B27:M27)</f>
        <v>28339.2</v>
      </c>
    </row>
    <row r="28" customFormat="false" ht="15" hidden="false" customHeight="false" outlineLevel="0" collapsed="false">
      <c r="A28" s="81" t="s">
        <v>467</v>
      </c>
      <c r="B28" s="91" t="n">
        <f aca="false">IF(1&gt;Dashboard!$P$5,"",'Profit &amp; Loss'!B28-B23)</f>
        <v>-6800</v>
      </c>
      <c r="C28" s="91" t="n">
        <f aca="false">IF(2&gt;Dashboard!$P$5,"",'Profit &amp; Loss'!C28-C23)</f>
        <v>-3425</v>
      </c>
      <c r="D28" s="91" t="n">
        <f aca="false">IF(3&gt;Dashboard!$P$5,"",'Profit &amp; Loss'!D28-D23)</f>
        <v>3927.5</v>
      </c>
      <c r="E28" s="91" t="n">
        <f aca="false">IF(4&gt;Dashboard!$P$5,"",'Profit &amp; Loss'!E28-E23)</f>
        <v>-4050</v>
      </c>
      <c r="F28" s="91" t="n">
        <f aca="false">IF(5&gt;Dashboard!$P$5,"",'Profit &amp; Loss'!F28-F23)</f>
        <v>-77.5</v>
      </c>
      <c r="G28" s="91" t="n">
        <f aca="false">IF(6&gt;Dashboard!$P$5,"",'Profit &amp; Loss'!G28-G23)</f>
        <v>3003.75</v>
      </c>
      <c r="H28" s="91" t="n">
        <f aca="false">IF(7&gt;Dashboard!$P$5,"",'Profit &amp; Loss'!H28-H23)</f>
        <v>1632.5</v>
      </c>
      <c r="I28" s="91" t="n">
        <f aca="false">IF(8&gt;Dashboard!$P$5,"",'Profit &amp; Loss'!I28-I23)</f>
        <v>2463.75</v>
      </c>
      <c r="J28" s="91" t="n">
        <f aca="false">IF(9&gt;Dashboard!$P$5,"",'Profit &amp; Loss'!J28-J23)</f>
        <v>185</v>
      </c>
      <c r="K28" s="91" t="str">
        <f aca="false">IF(10&gt;Dashboard!$P$5,"",'Profit &amp; Loss'!K28-K23)</f>
        <v/>
      </c>
      <c r="L28" s="91" t="str">
        <f aca="false">IF(11&gt;Dashboard!$P$5,"",'Profit &amp; Loss'!L28-L23)</f>
        <v/>
      </c>
      <c r="M28" s="91" t="str">
        <f aca="false">IF(12&gt;Dashboard!$P$5,"",'Profit &amp; Loss'!M28-M23)</f>
        <v/>
      </c>
      <c r="N28" s="85" t="n">
        <f aca="false">SUMPRODUCT((COLUMN('Profit &amp; Loss'!$B$28:$M$28)-COLUMN('Profit &amp; Loss'!$B$28)+1&lt;=Dashboard!$P$5)*'Profit &amp; Loss'!$B$28:$M$28)-SUMPRODUCT((COLUMN(B23:M23)-1&lt;=Dashboard!$P$5)*B23:M23)</f>
        <v>-3140</v>
      </c>
    </row>
    <row r="29" customFormat="false" ht="15" hidden="false" customHeight="false" outlineLevel="0" collapsed="false">
      <c r="A29" s="82" t="s">
        <v>468</v>
      </c>
      <c r="B29" s="87" t="n">
        <f aca="false">IF(1&gt;Dashboard!$P$5,Settings!$C$7+B23-B24-B25,B13)</f>
        <v>12964.3</v>
      </c>
      <c r="C29" s="87" t="n">
        <f aca="false">IF(2&gt;Dashboard!$P$5,B29+C23-C24-C25,C13)</f>
        <v>15239.42</v>
      </c>
      <c r="D29" s="87" t="n">
        <f aca="false">IF(3&gt;Dashboard!$P$5,C29+D23-D24-D25,D13)</f>
        <v>22823.9</v>
      </c>
      <c r="E29" s="87" t="n">
        <f aca="false">IF(4&gt;Dashboard!$P$5,D29+E23-E24-E25,E13)</f>
        <v>17622.15</v>
      </c>
      <c r="F29" s="87" t="n">
        <f aca="false">IF(5&gt;Dashboard!$P$5,E29+F23-F24-F25,F13)</f>
        <v>23201.89</v>
      </c>
      <c r="G29" s="87" t="n">
        <f aca="false">IF(6&gt;Dashboard!$P$5,F29+G23-G24-G25,G13)</f>
        <v>27157.77</v>
      </c>
      <c r="H29" s="87" t="n">
        <f aca="false">IF(7&gt;Dashboard!$P$5,G29+H23-H24-H25,H13)</f>
        <v>34362.73</v>
      </c>
      <c r="I29" s="87" t="n">
        <f aca="false">IF(8&gt;Dashboard!$P$5,H29+I23-I24-I25,I13)</f>
        <v>41873.51</v>
      </c>
      <c r="J29" s="87" t="n">
        <f aca="false">IF(9&gt;Dashboard!$P$5,I29+J23-J24-J25,J13)</f>
        <v>43162.15</v>
      </c>
      <c r="K29" s="87" t="n">
        <f aca="false">IF(10&gt;Dashboard!$P$5,J29+K23-K24-K25,K13)</f>
        <v>48192.15</v>
      </c>
      <c r="L29" s="87" t="n">
        <f aca="false">IF(11&gt;Dashboard!$P$5,K29+L23-L24-L25,L13)</f>
        <v>53222.15</v>
      </c>
      <c r="M29" s="87" t="n">
        <f aca="false">IF(12&gt;Dashboard!$P$5,L29+M23-M24-M25,M13)</f>
        <v>58252.15</v>
      </c>
      <c r="N29" s="92"/>
    </row>
    <row r="30" customFormat="false" ht="15" hidden="false" customHeight="false" outlineLevel="0" collapsed="false">
      <c r="A30" s="19" t="s">
        <v>469</v>
      </c>
    </row>
    <row r="32" customFormat="false" ht="30" hidden="false" customHeight="true" outlineLevel="0" collapsed="false">
      <c r="A32" s="56" t="s">
        <v>470</v>
      </c>
      <c r="B32" s="57" t="s">
        <v>471</v>
      </c>
      <c r="C32" s="57" t="s">
        <v>472</v>
      </c>
      <c r="D32" s="57" t="s">
        <v>281</v>
      </c>
      <c r="E32" s="57" t="s">
        <v>473</v>
      </c>
      <c r="F32" s="57" t="s">
        <v>90</v>
      </c>
      <c r="G32" s="57" t="s">
        <v>195</v>
      </c>
    </row>
    <row r="33" customFormat="false" ht="15" hidden="false" customHeight="false" outlineLevel="0" collapsed="false">
      <c r="A33" s="34" t="s">
        <v>474</v>
      </c>
      <c r="B33" s="95" t="n">
        <f aca="false">DATE(Settings!$C$5,1,1)</f>
        <v>46023</v>
      </c>
      <c r="C33" s="95" t="n">
        <f aca="false">DATE(Settings!$C$5,3,31)</f>
        <v>46112</v>
      </c>
      <c r="D33" s="77" t="n">
        <f aca="false">DATE(Settings!$C$5,4,15)</f>
        <v>46127</v>
      </c>
      <c r="E33" s="35" t="n">
        <f aca="false">SUMIFS($B$17:$M$17,$B$5:$M$5,"&gt;="&amp;B33,$B$5:$M$5,"&lt;="&amp;C33)</f>
        <v>5970.692</v>
      </c>
      <c r="F33" s="35" t="n">
        <f aca="false">SUMIFS(Expenses!$F$6:$F$805,Expenses!$D$6:$D$805,Settings!$B$17,Expenses!$A$6:$A$805,"&gt;="&amp;(D33-45),Expenses!$A$6:$A$805,"&lt;="&amp;(D33+15))</f>
        <v>4500</v>
      </c>
      <c r="G33" s="38" t="str">
        <f aca="true">IF(N(F33)&gt;0,"Paid",IF(TODAY()&gt;D33,"Due date passed","Due in "&amp;(D33-TODAY())&amp;" days"))</f>
        <v>Paid</v>
      </c>
    </row>
    <row r="34" customFormat="false" ht="15" hidden="false" customHeight="false" outlineLevel="0" collapsed="false">
      <c r="A34" s="34" t="s">
        <v>475</v>
      </c>
      <c r="B34" s="95" t="n">
        <f aca="false">DATE(Settings!$C$5,4,1)</f>
        <v>46113</v>
      </c>
      <c r="C34" s="95" t="n">
        <f aca="false">DATE(Settings!$C$5,5,31)</f>
        <v>46173</v>
      </c>
      <c r="D34" s="77" t="n">
        <f aca="false">DATE(Settings!$C$5,6,15)</f>
        <v>46188</v>
      </c>
      <c r="E34" s="35" t="n">
        <f aca="false">SUMIFS($B$17:$M$17,$B$5:$M$5,"&gt;="&amp;B34,$B$5:$M$5,"&lt;="&amp;C34)</f>
        <v>3885.8372</v>
      </c>
      <c r="F34" s="35" t="n">
        <f aca="false">SUMIFS(Expenses!$F$6:$F$805,Expenses!$D$6:$D$805,Settings!$B$17,Expenses!$A$6:$A$805,"&gt;="&amp;(D34-45),Expenses!$A$6:$A$805,"&lt;="&amp;(D34+15))</f>
        <v>4500</v>
      </c>
      <c r="G34" s="38" t="str">
        <f aca="true">IF(N(F34)&gt;0,"Paid",IF(TODAY()&gt;D34,"Due date passed","Due in "&amp;(D34-TODAY())&amp;" days"))</f>
        <v>Paid</v>
      </c>
    </row>
    <row r="35" customFormat="false" ht="15" hidden="false" customHeight="false" outlineLevel="0" collapsed="false">
      <c r="A35" s="34" t="s">
        <v>476</v>
      </c>
      <c r="B35" s="95" t="n">
        <f aca="false">DATE(Settings!$C$5,6,1)</f>
        <v>46174</v>
      </c>
      <c r="C35" s="95" t="n">
        <f aca="false">DATE(Settings!$C$5,8,31)</f>
        <v>46265</v>
      </c>
      <c r="D35" s="77" t="n">
        <f aca="false">DATE(Settings!$C$5,9,15)</f>
        <v>46280</v>
      </c>
      <c r="E35" s="35" t="n">
        <f aca="false">SUMIFS($B$17:$M$17,$B$5:$M$5,"&gt;="&amp;B35,$B$5:$M$5,"&lt;="&amp;C35)</f>
        <v>10268.0536</v>
      </c>
      <c r="F35" s="35" t="n">
        <f aca="false">SUMIFS(Expenses!$F$6:$F$805,Expenses!$D$6:$D$805,Settings!$B$17,Expenses!$A$6:$A$805,"&gt;="&amp;(D35-45),Expenses!$A$6:$A$805,"&lt;="&amp;(D35+15))</f>
        <v>4500</v>
      </c>
      <c r="G35" s="38" t="str">
        <f aca="true">IF(N(F35)&gt;0,"Paid",IF(TODAY()&gt;D35,"Due date passed","Due in "&amp;(D35-TODAY())&amp;" days"))</f>
        <v>Paid</v>
      </c>
    </row>
    <row r="36" customFormat="false" ht="15" hidden="false" customHeight="false" outlineLevel="0" collapsed="false">
      <c r="A36" s="34" t="s">
        <v>477</v>
      </c>
      <c r="B36" s="95" t="n">
        <f aca="false">DATE(Settings!$C$5,9,1)</f>
        <v>46266</v>
      </c>
      <c r="C36" s="95" t="n">
        <f aca="false">DATE(Settings!$C$5,12,31)</f>
        <v>46387</v>
      </c>
      <c r="D36" s="77" t="n">
        <f aca="false">DATE(Settings!$C$5+1,1,15)</f>
        <v>46402</v>
      </c>
      <c r="E36" s="35" t="n">
        <f aca="false">SUMIFS($B$17:$M$17,$B$5:$M$5,"&gt;="&amp;B36,$B$5:$M$5,"&lt;="&amp;C36)</f>
        <v>2880.8192</v>
      </c>
      <c r="F36" s="35" t="n">
        <f aca="false">SUMIFS(Expenses!$F$6:$F$805,Expenses!$D$6:$D$805,Settings!$B$17,Expenses!$A$6:$A$805,"&gt;="&amp;(D36-45),Expenses!$A$6:$A$805,"&lt;="&amp;(D36+15))</f>
        <v>0</v>
      </c>
      <c r="G36" s="38" t="str">
        <f aca="true">IF(N(F36)&gt;0,"Paid",IF(TODAY()&gt;D36,"Due date passed","Due in "&amp;(D36-TODAY())&amp;" days"))</f>
        <v>Due in 93 days</v>
      </c>
    </row>
    <row r="37" customFormat="false" ht="15" hidden="false" customHeight="false" outlineLevel="0" collapsed="false">
      <c r="A37" s="19" t="s">
        <v>478</v>
      </c>
    </row>
  </sheetData>
  <conditionalFormatting sqref="G33:G36">
    <cfRule type="expression" priority="2" aboveAverage="0" equalAverage="0" bottom="0" percent="0" rank="0" text="" dxfId="1">
      <formula>G33="Paid"</formula>
    </cfRule>
    <cfRule type="expression" priority="3" aboveAverage="0" equalAverage="0" bottom="0" percent="0" rank="0" text="" dxfId="0">
      <formula>G33="Due date passed"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D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4"/>
    <col collapsed="false" customWidth="true" hidden="false" outlineLevel="0" max="3" min="3" style="0" width="18"/>
    <col collapsed="false" customWidth="true" hidden="false" outlineLevel="0" max="4" min="4" style="0" width="80"/>
  </cols>
  <sheetData>
    <row r="1" customFormat="false" ht="22.05" hidden="false" customHeight="false" outlineLevel="0" collapsed="false">
      <c r="B1" s="48" t="s">
        <v>479</v>
      </c>
    </row>
    <row r="2" customFormat="false" ht="15" hidden="false" customHeight="false" outlineLevel="0" collapsed="false">
      <c r="B2" s="49" t="s">
        <v>480</v>
      </c>
    </row>
    <row r="4" customFormat="false" ht="15" hidden="false" customHeight="false" outlineLevel="0" collapsed="false">
      <c r="B4" s="28" t="s">
        <v>481</v>
      </c>
      <c r="C4" s="6"/>
      <c r="D4" s="6"/>
    </row>
    <row r="5" customFormat="false" ht="15" hidden="false" customHeight="false" outlineLevel="0" collapsed="false">
      <c r="B5" s="81" t="s">
        <v>482</v>
      </c>
      <c r="C5" s="53" t="n">
        <v>75000</v>
      </c>
      <c r="D5" s="19" t="s">
        <v>483</v>
      </c>
    </row>
    <row r="6" customFormat="false" ht="15" hidden="false" customHeight="false" outlineLevel="0" collapsed="false">
      <c r="B6" s="81" t="s">
        <v>484</v>
      </c>
      <c r="C6" s="53" t="n">
        <v>6000</v>
      </c>
      <c r="D6" s="19" t="s">
        <v>485</v>
      </c>
    </row>
    <row r="7" customFormat="false" ht="15" hidden="false" customHeight="false" outlineLevel="0" collapsed="false">
      <c r="B7" s="81" t="s">
        <v>486</v>
      </c>
      <c r="C7" s="53" t="n">
        <v>4000</v>
      </c>
      <c r="D7" s="19" t="s">
        <v>487</v>
      </c>
    </row>
    <row r="8" customFormat="false" ht="15" hidden="false" customHeight="false" outlineLevel="0" collapsed="false">
      <c r="B8" s="81" t="s">
        <v>488</v>
      </c>
      <c r="C8" s="55" t="n">
        <f aca="false">Settings!$C$13*12</f>
        <v>25140</v>
      </c>
      <c r="D8" s="19" t="s">
        <v>489</v>
      </c>
    </row>
    <row r="9" customFormat="false" ht="15" hidden="false" customHeight="false" outlineLevel="0" collapsed="false">
      <c r="B9" s="81" t="s">
        <v>490</v>
      </c>
      <c r="C9" s="96" t="n">
        <f aca="false">Settings!$C$8</f>
        <v>0.28</v>
      </c>
      <c r="D9" s="19" t="s">
        <v>491</v>
      </c>
    </row>
    <row r="10" customFormat="false" ht="15" hidden="false" customHeight="false" outlineLevel="0" collapsed="false">
      <c r="B10" s="81" t="s">
        <v>492</v>
      </c>
      <c r="C10" s="54" t="n">
        <v>0.1</v>
      </c>
      <c r="D10" s="19" t="s">
        <v>493</v>
      </c>
    </row>
    <row r="11" customFormat="false" ht="15" hidden="false" customHeight="false" outlineLevel="0" collapsed="false">
      <c r="B11" s="50" t="s">
        <v>494</v>
      </c>
      <c r="C11" s="55" t="n">
        <f aca="false">((C5+C6+C7)/(1-C9)+C8)*(1+C10)</f>
        <v>157515.111111111</v>
      </c>
      <c r="D11" s="19" t="s">
        <v>495</v>
      </c>
    </row>
    <row r="12" customFormat="false" ht="15" hidden="false" customHeight="false" outlineLevel="0" collapsed="false">
      <c r="B12" s="81" t="s">
        <v>496</v>
      </c>
      <c r="C12" s="52" t="n">
        <v>6</v>
      </c>
      <c r="D12" s="19" t="s">
        <v>497</v>
      </c>
    </row>
    <row r="13" customFormat="false" ht="15" hidden="false" customHeight="false" outlineLevel="0" collapsed="false">
      <c r="B13" s="81" t="s">
        <v>498</v>
      </c>
      <c r="C13" s="52" t="n">
        <v>40</v>
      </c>
    </row>
    <row r="14" customFormat="false" ht="15" hidden="false" customHeight="false" outlineLevel="0" collapsed="false">
      <c r="B14" s="81" t="s">
        <v>237</v>
      </c>
      <c r="C14" s="54" t="n">
        <v>0.65</v>
      </c>
      <c r="D14" s="19" t="s">
        <v>499</v>
      </c>
    </row>
    <row r="15" customFormat="false" ht="15" hidden="false" customHeight="false" outlineLevel="0" collapsed="false">
      <c r="B15" s="81" t="s">
        <v>500</v>
      </c>
      <c r="C15" s="97" t="n">
        <f aca="false">(52-C12)*C13*C14</f>
        <v>1196</v>
      </c>
    </row>
    <row r="16" customFormat="false" ht="15" hidden="false" customHeight="false" outlineLevel="0" collapsed="false">
      <c r="B16" s="81" t="s">
        <v>501</v>
      </c>
      <c r="C16" s="98" t="n">
        <f aca="false">IF(N(C15)=0,"",C11/C15)</f>
        <v>131.701597918989</v>
      </c>
    </row>
    <row r="17" customFormat="false" ht="24" hidden="false" customHeight="true" outlineLevel="0" collapsed="false">
      <c r="B17" s="50" t="s">
        <v>502</v>
      </c>
      <c r="C17" s="99" t="n">
        <f aca="false">IF(C16="","",CEILING(C16,5))</f>
        <v>135</v>
      </c>
      <c r="D17" s="19" t="s">
        <v>503</v>
      </c>
    </row>
    <row r="18" customFormat="false" ht="15" hidden="false" customHeight="false" outlineLevel="0" collapsed="false">
      <c r="B18" s="81" t="s">
        <v>504</v>
      </c>
      <c r="C18" s="55" t="n">
        <f aca="false">IF(N(SUMPRODUCT((COLUMN('Profit &amp; Loss'!$B$50:$M$50)-COLUMN('Profit &amp; Loss'!$B$50)+1&lt;=Dashboard!$P$5)*'Profit &amp; Loss'!$B$50:$M$50))=0,"",SUMPRODUCT((COLUMN('Profit &amp; Loss'!$B$28:$M$28)-COLUMN('Profit &amp; Loss'!$B$28)+1&lt;=Dashboard!$P$5)*'Profit &amp; Loss'!$B$28:$M$28)/SUMPRODUCT((COLUMN('Profit &amp; Loss'!$B$50:$M$50)-COLUMN('Profit &amp; Loss'!$B$50)+1&lt;=Dashboard!$P$5)*'Profit &amp; Loss'!$B$50:$M$50))</f>
        <v>91.706498951782</v>
      </c>
      <c r="D18" s="19" t="s">
        <v>505</v>
      </c>
    </row>
    <row r="19" customFormat="false" ht="15" hidden="false" customHeight="false" outlineLevel="0" collapsed="false">
      <c r="B19" s="81" t="s">
        <v>506</v>
      </c>
      <c r="C19" s="85" t="n">
        <f aca="false">IF(OR(C17="",C18=""),"",C18-C17)</f>
        <v>-43.293501048218</v>
      </c>
      <c r="D19" s="89" t="str">
        <f aca="false">IF(C19="","",IF(C19&gt;=0,"You're at or above your target. Nice work.","You're below target. Raise rates, tighten scope or stop doing free work."))</f>
        <v>You're below target. Raise rates, tighten scope or stop doing free work.</v>
      </c>
    </row>
    <row r="21" customFormat="false" ht="15" hidden="false" customHeight="false" outlineLevel="0" collapsed="false">
      <c r="B21" s="28" t="s">
        <v>507</v>
      </c>
      <c r="C21" s="6"/>
      <c r="D21" s="6"/>
    </row>
    <row r="22" customFormat="false" ht="15" hidden="false" customHeight="false" outlineLevel="0" collapsed="false">
      <c r="B22" s="81" t="s">
        <v>508</v>
      </c>
      <c r="C22" s="52" t="n">
        <v>20</v>
      </c>
    </row>
    <row r="23" customFormat="false" ht="15" hidden="false" customHeight="false" outlineLevel="0" collapsed="false">
      <c r="B23" s="81" t="s">
        <v>190</v>
      </c>
      <c r="C23" s="53" t="n">
        <f aca="false">C17</f>
        <v>135</v>
      </c>
      <c r="D23" s="19" t="s">
        <v>509</v>
      </c>
    </row>
    <row r="24" customFormat="false" ht="15" hidden="false" customHeight="false" outlineLevel="0" collapsed="false">
      <c r="B24" s="81" t="s">
        <v>510</v>
      </c>
      <c r="C24" s="54" t="n">
        <v>0.1</v>
      </c>
      <c r="D24" s="19" t="s">
        <v>511</v>
      </c>
    </row>
    <row r="25" customFormat="false" ht="24" hidden="false" customHeight="true" outlineLevel="0" collapsed="false">
      <c r="B25" s="50" t="s">
        <v>512</v>
      </c>
      <c r="C25" s="99" t="n">
        <f aca="false">CEILING(C22*C23*(1-C24),50)</f>
        <v>2450</v>
      </c>
      <c r="D25" s="19" t="s">
        <v>513</v>
      </c>
    </row>
    <row r="26" customFormat="false" ht="15" hidden="false" customHeight="false" outlineLevel="0" collapsed="false">
      <c r="B26" s="81" t="s">
        <v>514</v>
      </c>
      <c r="C26" s="55" t="n">
        <f aca="false">CEILING(C23*1.1,5)</f>
        <v>150</v>
      </c>
      <c r="D26" s="19" t="s">
        <v>515</v>
      </c>
    </row>
    <row r="28" customFormat="false" ht="15" hidden="false" customHeight="false" outlineLevel="0" collapsed="false">
      <c r="B28" s="28" t="s">
        <v>516</v>
      </c>
      <c r="C28" s="6"/>
      <c r="D28" s="6"/>
    </row>
    <row r="29" customFormat="false" ht="15" hidden="false" customHeight="false" outlineLevel="0" collapsed="false">
      <c r="B29" s="81" t="s">
        <v>517</v>
      </c>
      <c r="C29" s="52" t="n">
        <v>60</v>
      </c>
      <c r="D29" s="19" t="s">
        <v>518</v>
      </c>
    </row>
    <row r="30" customFormat="false" ht="15" hidden="false" customHeight="false" outlineLevel="0" collapsed="false">
      <c r="B30" s="81" t="s">
        <v>190</v>
      </c>
      <c r="C30" s="53" t="n">
        <f aca="false">C17</f>
        <v>135</v>
      </c>
      <c r="D30" s="19" t="s">
        <v>519</v>
      </c>
    </row>
    <row r="31" customFormat="false" ht="15" hidden="false" customHeight="false" outlineLevel="0" collapsed="false">
      <c r="B31" s="81" t="s">
        <v>520</v>
      </c>
      <c r="C31" s="54" t="n">
        <v>0.2</v>
      </c>
      <c r="D31" s="19" t="s">
        <v>521</v>
      </c>
    </row>
    <row r="32" customFormat="false" ht="15" hidden="false" customHeight="false" outlineLevel="0" collapsed="false">
      <c r="B32" s="81" t="s">
        <v>522</v>
      </c>
      <c r="C32" s="53" t="n">
        <v>1500</v>
      </c>
      <c r="D32" s="19" t="s">
        <v>523</v>
      </c>
    </row>
    <row r="33" customFormat="false" ht="15" hidden="false" customHeight="false" outlineLevel="0" collapsed="false">
      <c r="B33" s="81" t="s">
        <v>524</v>
      </c>
      <c r="C33" s="54" t="n">
        <v>0.2</v>
      </c>
      <c r="D33" s="19" t="s">
        <v>525</v>
      </c>
    </row>
    <row r="34" customFormat="false" ht="24" hidden="false" customHeight="true" outlineLevel="0" collapsed="false">
      <c r="B34" s="50" t="s">
        <v>526</v>
      </c>
      <c r="C34" s="99" t="n">
        <f aca="false">CEILING(C29*C30*(1+C31)+C32*(1+C33),50)</f>
        <v>11550</v>
      </c>
      <c r="D34" s="19" t="s">
        <v>527</v>
      </c>
    </row>
    <row r="35" customFormat="false" ht="15" hidden="false" customHeight="false" outlineLevel="0" collapsed="false">
      <c r="B35" s="81" t="s">
        <v>528</v>
      </c>
      <c r="C35" s="54" t="n">
        <v>0.5</v>
      </c>
      <c r="D35" s="19" t="s">
        <v>529</v>
      </c>
    </row>
    <row r="36" customFormat="false" ht="15" hidden="false" customHeight="false" outlineLevel="0" collapsed="false">
      <c r="B36" s="81" t="s">
        <v>530</v>
      </c>
      <c r="C36" s="55" t="n">
        <f aca="false">C34*C35</f>
        <v>5775</v>
      </c>
    </row>
    <row r="38" customFormat="false" ht="15" hidden="false" customHeight="false" outlineLevel="0" collapsed="false">
      <c r="B38" s="28" t="s">
        <v>531</v>
      </c>
      <c r="C38" s="6"/>
      <c r="D38" s="6"/>
    </row>
    <row r="39" customFormat="false" ht="15" hidden="false" customHeight="false" outlineLevel="0" collapsed="false">
      <c r="B39" s="81" t="s">
        <v>532</v>
      </c>
      <c r="C39" s="55" t="n">
        <f aca="false">Settings!$C$13</f>
        <v>2095</v>
      </c>
      <c r="D39" s="19" t="s">
        <v>491</v>
      </c>
    </row>
    <row r="40" customFormat="false" ht="15" hidden="false" customHeight="false" outlineLevel="0" collapsed="false">
      <c r="B40" s="81" t="s">
        <v>533</v>
      </c>
      <c r="C40" s="55" t="n">
        <f aca="false">SUMIFS(Settings!$D$16:$D$45,Settings!$C$16:$C$45,Settings!$G$18)</f>
        <v>875</v>
      </c>
      <c r="D40" s="19" t="s">
        <v>491</v>
      </c>
    </row>
    <row r="41" customFormat="false" ht="15" hidden="false" customHeight="false" outlineLevel="0" collapsed="false">
      <c r="B41" s="81" t="s">
        <v>534</v>
      </c>
      <c r="C41" s="55" t="n">
        <f aca="false">Settings!$D$16</f>
        <v>4500</v>
      </c>
      <c r="D41" s="19" t="s">
        <v>491</v>
      </c>
    </row>
    <row r="42" customFormat="false" ht="15" hidden="false" customHeight="false" outlineLevel="0" collapsed="false">
      <c r="B42" s="81" t="s">
        <v>535</v>
      </c>
      <c r="C42" s="55" t="n">
        <f aca="false">IF(ISNUMBER(C18),C18,C17)</f>
        <v>91.706498951782</v>
      </c>
      <c r="D42" s="19" t="s">
        <v>536</v>
      </c>
    </row>
    <row r="43" customFormat="false" ht="15" hidden="false" customHeight="false" outlineLevel="0" collapsed="false">
      <c r="B43" s="81" t="s">
        <v>537</v>
      </c>
      <c r="C43" s="97" t="n">
        <f aca="false">IF(N(C42)=0,"",(C39+C40)/C42)</f>
        <v>32.3859272128749</v>
      </c>
      <c r="D43" s="19" t="s">
        <v>538</v>
      </c>
    </row>
    <row r="44" customFormat="false" ht="24" hidden="false" customHeight="true" outlineLevel="0" collapsed="false">
      <c r="B44" s="50" t="s">
        <v>539</v>
      </c>
      <c r="C44" s="100" t="n">
        <f aca="false">IF(N(C42)=0,"",(C39+C40+C41/(1-C9))/C42)</f>
        <v>100.538130943672</v>
      </c>
      <c r="D44" s="19" t="s">
        <v>540</v>
      </c>
    </row>
    <row r="45" customFormat="false" ht="15" hidden="false" customHeight="false" outlineLevel="0" collapsed="false">
      <c r="B45" s="81" t="s">
        <v>541</v>
      </c>
      <c r="C45" s="101" t="n">
        <f aca="false">IF(C44="","",C44/4.33)</f>
        <v>23.2189678853747</v>
      </c>
    </row>
    <row r="46" customFormat="false" ht="15" hidden="false" customHeight="false" outlineLevel="0" collapsed="false">
      <c r="B46" s="81" t="s">
        <v>542</v>
      </c>
      <c r="C46" s="55" t="n">
        <f aca="false">IFERROR(SUMPRODUCT((COLUMN('Profit &amp; Loss'!$B$28:$M$28)-COLUMN('Profit &amp; Loss'!$B$28)+1&lt;=Dashboard!$P$5)*'Profit &amp; Loss'!$B$28:$M$28)/Dashboard!$P$5/COUNTIF(Clients!$K$6:$K$25,"Active"),"")</f>
        <v>1735.87301587302</v>
      </c>
      <c r="D46" s="19" t="s">
        <v>543</v>
      </c>
    </row>
    <row r="47" customFormat="false" ht="15" hidden="false" customHeight="false" outlineLevel="0" collapsed="false">
      <c r="B47" s="81" t="s">
        <v>544</v>
      </c>
      <c r="C47" s="102" t="n">
        <f aca="false">IF(N(C46)=0,"",ROUNDUP((C39+C40+C41/(1-C9))/C46,0))</f>
        <v>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Q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24"/>
    <col collapsed="false" customWidth="true" hidden="false" outlineLevel="0" max="3" min="3" style="0" width="26"/>
    <col collapsed="false" customWidth="true" hidden="false" outlineLevel="0" max="4" min="4" style="0" width="14"/>
    <col collapsed="false" customWidth="true" hidden="false" outlineLevel="0" max="5" min="5" style="0" width="22"/>
    <col collapsed="false" customWidth="true" hidden="false" outlineLevel="0" max="6" min="6" style="0" width="16"/>
    <col collapsed="false" customWidth="true" hidden="false" outlineLevel="0" max="7" min="7" style="0" width="22"/>
    <col collapsed="false" customWidth="true" hidden="false" outlineLevel="0" max="8" min="8" style="0" width="11"/>
    <col collapsed="false" customWidth="true" hidden="false" outlineLevel="0" max="9" min="9" style="0" width="8"/>
    <col collapsed="false" customWidth="true" hidden="false" outlineLevel="0" max="10" min="10" style="0" width="11"/>
    <col collapsed="false" customWidth="true" hidden="false" outlineLevel="0" max="11" min="11" style="0" width="13"/>
    <col collapsed="false" customWidth="true" hidden="false" outlineLevel="0" max="12" min="12" style="0" width="8"/>
    <col collapsed="false" customWidth="true" hidden="false" outlineLevel="0" max="13" min="13" style="0" width="11"/>
    <col collapsed="false" customWidth="true" hidden="false" outlineLevel="0" max="14" min="14" style="0" width="12"/>
    <col collapsed="false" customWidth="true" hidden="false" outlineLevel="0" max="15" min="15" style="0" width="28"/>
    <col collapsed="false" customWidth="true" hidden="false" outlineLevel="0" max="16" min="16" style="0" width="12"/>
    <col collapsed="false" customWidth="true" hidden="false" outlineLevel="0" max="17" min="17" style="0" width="14"/>
  </cols>
  <sheetData>
    <row r="1" customFormat="false" ht="22.05" hidden="false" customHeight="false" outlineLevel="0" collapsed="false">
      <c r="A1" s="48" t="s">
        <v>545</v>
      </c>
    </row>
    <row r="2" customFormat="false" ht="15" hidden="false" customHeight="false" outlineLevel="0" collapsed="false">
      <c r="A2" s="49" t="s">
        <v>546</v>
      </c>
    </row>
    <row r="3" customFormat="false" ht="15" hidden="false" customHeight="false" outlineLevel="0" collapsed="false">
      <c r="B3" s="68" t="s">
        <v>547</v>
      </c>
      <c r="C3" s="68" t="s">
        <v>548</v>
      </c>
      <c r="G3" s="68" t="s">
        <v>549</v>
      </c>
      <c r="K3" s="68" t="s">
        <v>550</v>
      </c>
    </row>
    <row r="4" customFormat="false" ht="15" hidden="false" customHeight="false" outlineLevel="0" collapsed="false">
      <c r="B4" s="74" t="n">
        <f aca="false">COUNTIFS(B6:B105,"&lt;&gt;",K6:K105,"&lt;&gt;Won",K6:K105,"&lt;&gt;Lost")</f>
        <v>7</v>
      </c>
      <c r="C4" s="71" t="n">
        <f aca="false">SUMIFS(M6:M105,K6:K105,"&lt;&gt;Won",K6:K105,"&lt;&gt;Lost")</f>
        <v>47700</v>
      </c>
      <c r="G4" s="71" t="n">
        <f aca="false">SUMIFS(J6:J105,K6:K105,"Won")</f>
        <v>6000</v>
      </c>
      <c r="K4" s="74" t="n">
        <f aca="false">COUNTIF(Q6:Q105,"Overdue")</f>
        <v>2</v>
      </c>
    </row>
    <row r="5" customFormat="false" ht="33.75" hidden="false" customHeight="true" outlineLevel="0" collapsed="false">
      <c r="A5" s="56" t="s">
        <v>551</v>
      </c>
      <c r="B5" s="57" t="s">
        <v>552</v>
      </c>
      <c r="C5" s="57" t="s">
        <v>188</v>
      </c>
      <c r="D5" s="57" t="s">
        <v>138</v>
      </c>
      <c r="E5" s="57" t="s">
        <v>123</v>
      </c>
      <c r="F5" s="57" t="s">
        <v>193</v>
      </c>
      <c r="G5" s="57" t="s">
        <v>553</v>
      </c>
      <c r="H5" s="57" t="s">
        <v>554</v>
      </c>
      <c r="I5" s="57" t="s">
        <v>555</v>
      </c>
      <c r="J5" s="57" t="s">
        <v>556</v>
      </c>
      <c r="K5" s="57" t="s">
        <v>557</v>
      </c>
      <c r="L5" s="57" t="s">
        <v>105</v>
      </c>
      <c r="M5" s="57" t="s">
        <v>558</v>
      </c>
      <c r="N5" s="57" t="s">
        <v>559</v>
      </c>
      <c r="O5" s="57" t="s">
        <v>560</v>
      </c>
      <c r="P5" s="57" t="s">
        <v>561</v>
      </c>
      <c r="Q5" s="57" t="s">
        <v>562</v>
      </c>
    </row>
    <row r="6" customFormat="false" ht="15" hidden="false" customHeight="false" outlineLevel="0" collapsed="false">
      <c r="A6" s="51" t="s">
        <v>563</v>
      </c>
      <c r="B6" s="51" t="s">
        <v>564</v>
      </c>
      <c r="C6" s="51" t="s">
        <v>565</v>
      </c>
      <c r="D6" s="51" t="s">
        <v>566</v>
      </c>
      <c r="E6" s="51" t="s">
        <v>567</v>
      </c>
      <c r="F6" s="51" t="s">
        <v>114</v>
      </c>
      <c r="G6" s="51" t="s">
        <v>568</v>
      </c>
      <c r="H6" s="53" t="n">
        <v>2500</v>
      </c>
      <c r="I6" s="52" t="n">
        <v>12</v>
      </c>
      <c r="J6" s="35" t="n">
        <f aca="false">IF(H6="","",H6*MAX(1,N(I6)))</f>
        <v>30000</v>
      </c>
      <c r="K6" s="51" t="s">
        <v>137</v>
      </c>
      <c r="L6" s="103" t="n">
        <f aca="false">IF(K6="","",IFERROR(INDEX(Settings!$L$16:$L$22,MATCH(K6,Settings!$K$16:$K$22,0)),""))</f>
        <v>0.6</v>
      </c>
      <c r="M6" s="35" t="n">
        <f aca="false">IF(OR(J6="",L6=""),"",J6*L6)</f>
        <v>18000</v>
      </c>
      <c r="N6" s="65" t="n">
        <v>46297</v>
      </c>
      <c r="O6" s="51" t="s">
        <v>569</v>
      </c>
      <c r="P6" s="65" t="n">
        <v>46302</v>
      </c>
      <c r="Q6" s="38" t="str">
        <f aca="true">IF(OR(B6="",K6="Won",K6="Lost"),"",IF(P6="","Set a next step",IF(P6&lt;TODAY(),"Overdue","")))</f>
        <v>Overdue</v>
      </c>
    </row>
    <row r="7" customFormat="false" ht="15" hidden="false" customHeight="false" outlineLevel="0" collapsed="false">
      <c r="A7" s="51" t="s">
        <v>570</v>
      </c>
      <c r="B7" s="51" t="s">
        <v>571</v>
      </c>
      <c r="C7" s="51" t="s">
        <v>572</v>
      </c>
      <c r="D7" s="51" t="s">
        <v>573</v>
      </c>
      <c r="E7" s="51" t="s">
        <v>574</v>
      </c>
      <c r="F7" s="51" t="s">
        <v>136</v>
      </c>
      <c r="G7" s="51" t="s">
        <v>575</v>
      </c>
      <c r="H7" s="53" t="n">
        <v>4000</v>
      </c>
      <c r="I7" s="52" t="n">
        <v>3</v>
      </c>
      <c r="J7" s="35" t="n">
        <f aca="false">IF(H7="","",H7*MAX(1,N(I7)))</f>
        <v>12000</v>
      </c>
      <c r="K7" s="51" t="s">
        <v>132</v>
      </c>
      <c r="L7" s="103" t="n">
        <f aca="false">IF(K7="","",IFERROR(INDEX(Settings!$L$16:$L$22,MATCH(K7,Settings!$K$16:$K$22,0)),""))</f>
        <v>0.4</v>
      </c>
      <c r="M7" s="35" t="n">
        <f aca="false">IF(OR(J7="",L7=""),"",J7*L7)</f>
        <v>4800</v>
      </c>
      <c r="N7" s="65" t="n">
        <v>46301</v>
      </c>
      <c r="O7" s="51" t="s">
        <v>576</v>
      </c>
      <c r="P7" s="65" t="n">
        <v>46316</v>
      </c>
      <c r="Q7" s="38" t="str">
        <f aca="true">IF(OR(B7="",K7="Won",K7="Lost"),"",IF(P7="","Set a next step",IF(P7&lt;TODAY(),"Overdue","")))</f>
        <v/>
      </c>
    </row>
    <row r="8" customFormat="false" ht="15" hidden="false" customHeight="false" outlineLevel="0" collapsed="false">
      <c r="A8" s="51" t="s">
        <v>577</v>
      </c>
      <c r="B8" s="51" t="s">
        <v>578</v>
      </c>
      <c r="C8" s="51" t="s">
        <v>579</v>
      </c>
      <c r="D8" s="51" t="s">
        <v>580</v>
      </c>
      <c r="E8" s="51" t="s">
        <v>581</v>
      </c>
      <c r="F8" s="51" t="s">
        <v>145</v>
      </c>
      <c r="G8" s="51" t="s">
        <v>259</v>
      </c>
      <c r="H8" s="53" t="n">
        <v>1200</v>
      </c>
      <c r="I8" s="52" t="n">
        <v>12</v>
      </c>
      <c r="J8" s="35" t="n">
        <f aca="false">IF(H8="","",H8*MAX(1,N(I8)))</f>
        <v>14400</v>
      </c>
      <c r="K8" s="51" t="s">
        <v>124</v>
      </c>
      <c r="L8" s="103" t="n">
        <f aca="false">IF(K8="","",IFERROR(INDEX(Settings!$L$16:$L$22,MATCH(K8,Settings!$K$16:$K$22,0)),""))</f>
        <v>0.2</v>
      </c>
      <c r="M8" s="35" t="n">
        <f aca="false">IF(OR(J8="",L8=""),"",J8*L8)</f>
        <v>2880</v>
      </c>
      <c r="N8" s="65" t="n">
        <v>46289</v>
      </c>
      <c r="O8" s="51" t="s">
        <v>582</v>
      </c>
      <c r="P8" s="65" t="n">
        <v>46296</v>
      </c>
      <c r="Q8" s="38" t="str">
        <f aca="true">IF(OR(B8="",K8="Won",K8="Lost"),"",IF(P8="","Set a next step",IF(P8&lt;TODAY(),"Overdue","")))</f>
        <v>Overdue</v>
      </c>
    </row>
    <row r="9" customFormat="false" ht="15" hidden="false" customHeight="false" outlineLevel="0" collapsed="false">
      <c r="A9" s="51" t="s">
        <v>583</v>
      </c>
      <c r="B9" s="51" t="s">
        <v>584</v>
      </c>
      <c r="C9" s="51" t="s">
        <v>585</v>
      </c>
      <c r="D9" s="51" t="s">
        <v>586</v>
      </c>
      <c r="E9" s="51" t="s">
        <v>587</v>
      </c>
      <c r="F9" s="51" t="s">
        <v>155</v>
      </c>
      <c r="G9" s="51" t="s">
        <v>588</v>
      </c>
      <c r="H9" s="53" t="n">
        <v>1500</v>
      </c>
      <c r="I9" s="52" t="n">
        <v>6</v>
      </c>
      <c r="J9" s="35" t="n">
        <f aca="false">IF(H9="","",H9*MAX(1,N(I9)))</f>
        <v>9000</v>
      </c>
      <c r="K9" s="51" t="s">
        <v>115</v>
      </c>
      <c r="L9" s="103" t="n">
        <f aca="false">IF(K9="","",IFERROR(INDEX(Settings!$L$16:$L$22,MATCH(K9,Settings!$K$16:$K$22,0)),""))</f>
        <v>0.1</v>
      </c>
      <c r="M9" s="35" t="n">
        <f aca="false">IF(OR(J9="",L9=""),"",J9*L9)</f>
        <v>900</v>
      </c>
      <c r="N9" s="65" t="n">
        <v>46303</v>
      </c>
      <c r="O9" s="51" t="s">
        <v>589</v>
      </c>
      <c r="P9" s="65" t="n">
        <v>46311</v>
      </c>
      <c r="Q9" s="38" t="str">
        <f aca="true">IF(OR(B9="",K9="Won",K9="Lost"),"",IF(P9="","Set a next step",IF(P9&lt;TODAY(),"Overdue","")))</f>
        <v/>
      </c>
    </row>
    <row r="10" customFormat="false" ht="15" hidden="false" customHeight="false" outlineLevel="0" collapsed="false">
      <c r="A10" s="51" t="s">
        <v>590</v>
      </c>
      <c r="B10" s="51" t="s">
        <v>591</v>
      </c>
      <c r="C10" s="51" t="s">
        <v>592</v>
      </c>
      <c r="D10" s="51" t="s">
        <v>593</v>
      </c>
      <c r="E10" s="51" t="s">
        <v>594</v>
      </c>
      <c r="F10" s="51" t="s">
        <v>123</v>
      </c>
      <c r="G10" s="51" t="s">
        <v>264</v>
      </c>
      <c r="H10" s="53" t="n">
        <v>7500</v>
      </c>
      <c r="I10" s="52" t="n">
        <v>1</v>
      </c>
      <c r="J10" s="35" t="n">
        <f aca="false">IF(H10="","",H10*MAX(1,N(I10)))</f>
        <v>7500</v>
      </c>
      <c r="K10" s="51" t="s">
        <v>141</v>
      </c>
      <c r="L10" s="103" t="n">
        <f aca="false">IF(K10="","",IFERROR(INDEX(Settings!$L$16:$L$22,MATCH(K10,Settings!$K$16:$K$22,0)),""))</f>
        <v>0.8</v>
      </c>
      <c r="M10" s="35" t="n">
        <f aca="false">IF(OR(J10="",L10=""),"",J10*L10)</f>
        <v>6000</v>
      </c>
      <c r="N10" s="65" t="n">
        <v>46300</v>
      </c>
      <c r="O10" s="51" t="s">
        <v>595</v>
      </c>
      <c r="P10" s="65" t="n">
        <v>46309</v>
      </c>
      <c r="Q10" s="38" t="str">
        <f aca="true">IF(OR(B10="",K10="Won",K10="Lost"),"",IF(P10="","Set a next step",IF(P10&lt;TODAY(),"Overdue","")))</f>
        <v/>
      </c>
    </row>
    <row r="11" customFormat="false" ht="15" hidden="false" customHeight="false" outlineLevel="0" collapsed="false">
      <c r="A11" s="51" t="s">
        <v>596</v>
      </c>
      <c r="B11" s="51" t="s">
        <v>597</v>
      </c>
      <c r="C11" s="51" t="s">
        <v>598</v>
      </c>
      <c r="D11" s="51" t="s">
        <v>599</v>
      </c>
      <c r="E11" s="51" t="s">
        <v>600</v>
      </c>
      <c r="F11" s="51" t="s">
        <v>114</v>
      </c>
      <c r="G11" s="51" t="s">
        <v>601</v>
      </c>
      <c r="H11" s="53" t="n">
        <v>2000</v>
      </c>
      <c r="I11" s="52" t="n">
        <v>12</v>
      </c>
      <c r="J11" s="35" t="n">
        <f aca="false">IF(H11="","",H11*MAX(1,N(I11)))</f>
        <v>24000</v>
      </c>
      <c r="K11" s="51" t="s">
        <v>137</v>
      </c>
      <c r="L11" s="103" t="n">
        <f aca="false">IF(K11="","",IFERROR(INDEX(Settings!$L$16:$L$22,MATCH(K11,Settings!$K$16:$K$22,0)),""))</f>
        <v>0.6</v>
      </c>
      <c r="M11" s="35" t="n">
        <f aca="false">IF(OR(J11="",L11=""),"",J11*L11)</f>
        <v>14400</v>
      </c>
      <c r="N11" s="65" t="n">
        <v>46295</v>
      </c>
      <c r="O11" s="51" t="s">
        <v>602</v>
      </c>
      <c r="P11" s="65" t="n">
        <v>46315</v>
      </c>
      <c r="Q11" s="38" t="str">
        <f aca="true">IF(OR(B11="",K11="Won",K11="Lost"),"",IF(P11="","Set a next step",IF(P11&lt;TODAY(),"Overdue","")))</f>
        <v/>
      </c>
    </row>
    <row r="12" customFormat="false" ht="15" hidden="false" customHeight="false" outlineLevel="0" collapsed="false">
      <c r="A12" s="51" t="s">
        <v>603</v>
      </c>
      <c r="B12" s="51" t="s">
        <v>604</v>
      </c>
      <c r="C12" s="51" t="s">
        <v>605</v>
      </c>
      <c r="D12" s="51" t="s">
        <v>606</v>
      </c>
      <c r="E12" s="51" t="s">
        <v>607</v>
      </c>
      <c r="F12" s="51" t="s">
        <v>140</v>
      </c>
      <c r="G12" s="51" t="s">
        <v>608</v>
      </c>
      <c r="H12" s="53" t="n">
        <v>3000</v>
      </c>
      <c r="I12" s="52" t="n">
        <v>2</v>
      </c>
      <c r="J12" s="35" t="n">
        <f aca="false">IF(H12="","",H12*MAX(1,N(I12)))</f>
        <v>6000</v>
      </c>
      <c r="K12" s="51" t="s">
        <v>146</v>
      </c>
      <c r="L12" s="103" t="n">
        <f aca="false">IF(K12="","",IFERROR(INDEX(Settings!$L$16:$L$22,MATCH(K12,Settings!$K$16:$K$22,0)),""))</f>
        <v>1</v>
      </c>
      <c r="M12" s="35" t="n">
        <f aca="false">IF(OR(J12="",L12=""),"",J12*L12)</f>
        <v>6000</v>
      </c>
      <c r="N12" s="65" t="n">
        <v>46283</v>
      </c>
      <c r="O12" s="51" t="s">
        <v>609</v>
      </c>
      <c r="P12" s="65" t="n">
        <v>46307</v>
      </c>
      <c r="Q12" s="38" t="str">
        <f aca="true">IF(OR(B12="",K12="Won",K12="Lost"),"",IF(P12="","Set a next step",IF(P12&lt;TODAY(),"Overdue","")))</f>
        <v/>
      </c>
    </row>
    <row r="13" customFormat="false" ht="15" hidden="false" customHeight="false" outlineLevel="0" collapsed="false">
      <c r="A13" s="51" t="s">
        <v>610</v>
      </c>
      <c r="B13" s="51" t="s">
        <v>611</v>
      </c>
      <c r="C13" s="51" t="s">
        <v>612</v>
      </c>
      <c r="D13" s="51" t="s">
        <v>613</v>
      </c>
      <c r="E13" s="51" t="s">
        <v>614</v>
      </c>
      <c r="F13" s="51" t="s">
        <v>153</v>
      </c>
      <c r="G13" s="51" t="s">
        <v>615</v>
      </c>
      <c r="H13" s="53" t="n">
        <v>600</v>
      </c>
      <c r="I13" s="52" t="n">
        <v>6</v>
      </c>
      <c r="J13" s="35" t="n">
        <f aca="false">IF(H13="","",H13*MAX(1,N(I13)))</f>
        <v>3600</v>
      </c>
      <c r="K13" s="51" t="s">
        <v>150</v>
      </c>
      <c r="L13" s="103" t="n">
        <f aca="false">IF(K13="","",IFERROR(INDEX(Settings!$L$16:$L$22,MATCH(K13,Settings!$K$16:$K$22,0)),""))</f>
        <v>0</v>
      </c>
      <c r="M13" s="35" t="n">
        <f aca="false">IF(OR(J13="",L13=""),"",J13*L13)</f>
        <v>0</v>
      </c>
      <c r="N13" s="65" t="n">
        <v>46262</v>
      </c>
      <c r="O13" s="51"/>
      <c r="P13" s="65"/>
      <c r="Q13" s="38" t="str">
        <f aca="true">IF(OR(B13="",K13="Won",K13="Lost"),"",IF(P13="","Set a next step",IF(P13&lt;TODAY(),"Overdue","")))</f>
        <v/>
      </c>
    </row>
    <row r="14" customFormat="false" ht="15" hidden="false" customHeight="false" outlineLevel="0" collapsed="false">
      <c r="A14" s="51" t="s">
        <v>616</v>
      </c>
      <c r="B14" s="51" t="s">
        <v>617</v>
      </c>
      <c r="C14" s="51" t="s">
        <v>618</v>
      </c>
      <c r="D14" s="51" t="s">
        <v>619</v>
      </c>
      <c r="E14" s="51" t="s">
        <v>620</v>
      </c>
      <c r="F14" s="51" t="s">
        <v>149</v>
      </c>
      <c r="G14" s="51" t="s">
        <v>621</v>
      </c>
      <c r="H14" s="53" t="n">
        <v>1800</v>
      </c>
      <c r="I14" s="52" t="n">
        <v>1</v>
      </c>
      <c r="J14" s="35" t="n">
        <f aca="false">IF(H14="","",H14*MAX(1,N(I14)))</f>
        <v>1800</v>
      </c>
      <c r="K14" s="51" t="s">
        <v>132</v>
      </c>
      <c r="L14" s="103" t="n">
        <f aca="false">IF(K14="","",IFERROR(INDEX(Settings!$L$16:$L$22,MATCH(K14,Settings!$K$16:$K$22,0)),""))</f>
        <v>0.4</v>
      </c>
      <c r="M14" s="35" t="n">
        <f aca="false">IF(OR(J14="",L14=""),"",J14*L14)</f>
        <v>720</v>
      </c>
      <c r="N14" s="65" t="n">
        <v>46296</v>
      </c>
      <c r="O14" s="51"/>
      <c r="P14" s="65"/>
      <c r="Q14" s="38" t="str">
        <f aca="true">IF(OR(B14="",K14="Won",K14="Lost"),"",IF(P14="","Set a next step",IF(P14&lt;TODAY(),"Overdue","")))</f>
        <v>Set a next step</v>
      </c>
    </row>
    <row r="15" customFormat="false" ht="15" hidden="false" customHeight="false" outlineLevel="0" collapsed="false">
      <c r="A15" s="51"/>
      <c r="B15" s="51"/>
      <c r="C15" s="51"/>
      <c r="D15" s="51"/>
      <c r="E15" s="51"/>
      <c r="F15" s="51"/>
      <c r="G15" s="51"/>
      <c r="H15" s="53"/>
      <c r="I15" s="52"/>
      <c r="J15" s="35" t="str">
        <f aca="false">IF(H15="","",H15*MAX(1,N(I15)))</f>
        <v/>
      </c>
      <c r="K15" s="51"/>
      <c r="L15" s="103" t="str">
        <f aca="false">IF(K15="","",IFERROR(INDEX(Settings!$L$16:$L$22,MATCH(K15,Settings!$K$16:$K$22,0)),""))</f>
        <v/>
      </c>
      <c r="M15" s="35" t="str">
        <f aca="false">IF(OR(J15="",L15=""),"",J15*L15)</f>
        <v/>
      </c>
      <c r="N15" s="65"/>
      <c r="O15" s="51"/>
      <c r="P15" s="65"/>
      <c r="Q15" s="38" t="str">
        <f aca="true">IF(OR(B15="",K15="Won",K15="Lost"),"",IF(P15="","Set a next step",IF(P15&lt;TODAY(),"Overdue","")))</f>
        <v/>
      </c>
    </row>
    <row r="16" customFormat="false" ht="15" hidden="false" customHeight="false" outlineLevel="0" collapsed="false">
      <c r="A16" s="51"/>
      <c r="B16" s="51"/>
      <c r="C16" s="51"/>
      <c r="D16" s="51"/>
      <c r="E16" s="51"/>
      <c r="F16" s="51"/>
      <c r="G16" s="51"/>
      <c r="H16" s="53"/>
      <c r="I16" s="52"/>
      <c r="J16" s="35" t="str">
        <f aca="false">IF(H16="","",H16*MAX(1,N(I16)))</f>
        <v/>
      </c>
      <c r="K16" s="51"/>
      <c r="L16" s="103" t="str">
        <f aca="false">IF(K16="","",IFERROR(INDEX(Settings!$L$16:$L$22,MATCH(K16,Settings!$K$16:$K$22,0)),""))</f>
        <v/>
      </c>
      <c r="M16" s="35" t="str">
        <f aca="false">IF(OR(J16="",L16=""),"",J16*L16)</f>
        <v/>
      </c>
      <c r="N16" s="65"/>
      <c r="O16" s="51"/>
      <c r="P16" s="65"/>
      <c r="Q16" s="38" t="str">
        <f aca="true">IF(OR(B16="",K16="Won",K16="Lost"),"",IF(P16="","Set a next step",IF(P16&lt;TODAY(),"Overdue","")))</f>
        <v/>
      </c>
    </row>
    <row r="17" customFormat="false" ht="15" hidden="false" customHeight="false" outlineLevel="0" collapsed="false">
      <c r="A17" s="51"/>
      <c r="B17" s="51"/>
      <c r="C17" s="51"/>
      <c r="D17" s="51"/>
      <c r="E17" s="51"/>
      <c r="F17" s="51"/>
      <c r="G17" s="51"/>
      <c r="H17" s="53"/>
      <c r="I17" s="52"/>
      <c r="J17" s="35" t="str">
        <f aca="false">IF(H17="","",H17*MAX(1,N(I17)))</f>
        <v/>
      </c>
      <c r="K17" s="51"/>
      <c r="L17" s="103" t="str">
        <f aca="false">IF(K17="","",IFERROR(INDEX(Settings!$L$16:$L$22,MATCH(K17,Settings!$K$16:$K$22,0)),""))</f>
        <v/>
      </c>
      <c r="M17" s="35" t="str">
        <f aca="false">IF(OR(J17="",L17=""),"",J17*L17)</f>
        <v/>
      </c>
      <c r="N17" s="65"/>
      <c r="O17" s="51"/>
      <c r="P17" s="65"/>
      <c r="Q17" s="38" t="str">
        <f aca="true">IF(OR(B17="",K17="Won",K17="Lost"),"",IF(P17="","Set a next step",IF(P17&lt;TODAY(),"Overdue","")))</f>
        <v/>
      </c>
    </row>
    <row r="18" customFormat="false" ht="15" hidden="false" customHeight="false" outlineLevel="0" collapsed="false">
      <c r="A18" s="51"/>
      <c r="B18" s="51"/>
      <c r="C18" s="51"/>
      <c r="D18" s="51"/>
      <c r="E18" s="51"/>
      <c r="F18" s="51"/>
      <c r="G18" s="51"/>
      <c r="H18" s="53"/>
      <c r="I18" s="52"/>
      <c r="J18" s="35" t="str">
        <f aca="false">IF(H18="","",H18*MAX(1,N(I18)))</f>
        <v/>
      </c>
      <c r="K18" s="51"/>
      <c r="L18" s="103" t="str">
        <f aca="false">IF(K18="","",IFERROR(INDEX(Settings!$L$16:$L$22,MATCH(K18,Settings!$K$16:$K$22,0)),""))</f>
        <v/>
      </c>
      <c r="M18" s="35" t="str">
        <f aca="false">IF(OR(J18="",L18=""),"",J18*L18)</f>
        <v/>
      </c>
      <c r="N18" s="65"/>
      <c r="O18" s="51"/>
      <c r="P18" s="65"/>
      <c r="Q18" s="38" t="str">
        <f aca="true">IF(OR(B18="",K18="Won",K18="Lost"),"",IF(P18="","Set a next step",IF(P18&lt;TODAY(),"Overdue","")))</f>
        <v/>
      </c>
    </row>
    <row r="19" customFormat="false" ht="15" hidden="false" customHeight="false" outlineLevel="0" collapsed="false">
      <c r="A19" s="51"/>
      <c r="B19" s="51"/>
      <c r="C19" s="51"/>
      <c r="D19" s="51"/>
      <c r="E19" s="51"/>
      <c r="F19" s="51"/>
      <c r="G19" s="51"/>
      <c r="H19" s="53"/>
      <c r="I19" s="52"/>
      <c r="J19" s="35" t="str">
        <f aca="false">IF(H19="","",H19*MAX(1,N(I19)))</f>
        <v/>
      </c>
      <c r="K19" s="51"/>
      <c r="L19" s="103" t="str">
        <f aca="false">IF(K19="","",IFERROR(INDEX(Settings!$L$16:$L$22,MATCH(K19,Settings!$K$16:$K$22,0)),""))</f>
        <v/>
      </c>
      <c r="M19" s="35" t="str">
        <f aca="false">IF(OR(J19="",L19=""),"",J19*L19)</f>
        <v/>
      </c>
      <c r="N19" s="65"/>
      <c r="O19" s="51"/>
      <c r="P19" s="65"/>
      <c r="Q19" s="38" t="str">
        <f aca="true">IF(OR(B19="",K19="Won",K19="Lost"),"",IF(P19="","Set a next step",IF(P19&lt;TODAY(),"Overdue","")))</f>
        <v/>
      </c>
    </row>
    <row r="20" customFormat="false" ht="15" hidden="false" customHeight="false" outlineLevel="0" collapsed="false">
      <c r="A20" s="51"/>
      <c r="B20" s="51"/>
      <c r="C20" s="51"/>
      <c r="D20" s="51"/>
      <c r="E20" s="51"/>
      <c r="F20" s="51"/>
      <c r="G20" s="51"/>
      <c r="H20" s="53"/>
      <c r="I20" s="52"/>
      <c r="J20" s="35" t="str">
        <f aca="false">IF(H20="","",H20*MAX(1,N(I20)))</f>
        <v/>
      </c>
      <c r="K20" s="51"/>
      <c r="L20" s="103" t="str">
        <f aca="false">IF(K20="","",IFERROR(INDEX(Settings!$L$16:$L$22,MATCH(K20,Settings!$K$16:$K$22,0)),""))</f>
        <v/>
      </c>
      <c r="M20" s="35" t="str">
        <f aca="false">IF(OR(J20="",L20=""),"",J20*L20)</f>
        <v/>
      </c>
      <c r="N20" s="65"/>
      <c r="O20" s="51"/>
      <c r="P20" s="65"/>
      <c r="Q20" s="38" t="str">
        <f aca="true">IF(OR(B20="",K20="Won",K20="Lost"),"",IF(P20="","Set a next step",IF(P20&lt;TODAY(),"Overdue","")))</f>
        <v/>
      </c>
    </row>
    <row r="21" customFormat="false" ht="15" hidden="false" customHeight="false" outlineLevel="0" collapsed="false">
      <c r="A21" s="51"/>
      <c r="B21" s="51"/>
      <c r="C21" s="51"/>
      <c r="D21" s="51"/>
      <c r="E21" s="51"/>
      <c r="F21" s="51"/>
      <c r="G21" s="51"/>
      <c r="H21" s="53"/>
      <c r="I21" s="52"/>
      <c r="J21" s="35" t="str">
        <f aca="false">IF(H21="","",H21*MAX(1,N(I21)))</f>
        <v/>
      </c>
      <c r="K21" s="51"/>
      <c r="L21" s="103" t="str">
        <f aca="false">IF(K21="","",IFERROR(INDEX(Settings!$L$16:$L$22,MATCH(K21,Settings!$K$16:$K$22,0)),""))</f>
        <v/>
      </c>
      <c r="M21" s="35" t="str">
        <f aca="false">IF(OR(J21="",L21=""),"",J21*L21)</f>
        <v/>
      </c>
      <c r="N21" s="65"/>
      <c r="O21" s="51"/>
      <c r="P21" s="65"/>
      <c r="Q21" s="38" t="str">
        <f aca="true">IF(OR(B21="",K21="Won",K21="Lost"),"",IF(P21="","Set a next step",IF(P21&lt;TODAY(),"Overdue","")))</f>
        <v/>
      </c>
    </row>
    <row r="22" customFormat="false" ht="15" hidden="false" customHeight="false" outlineLevel="0" collapsed="false">
      <c r="A22" s="51"/>
      <c r="B22" s="51"/>
      <c r="C22" s="51"/>
      <c r="D22" s="51"/>
      <c r="E22" s="51"/>
      <c r="F22" s="51"/>
      <c r="G22" s="51"/>
      <c r="H22" s="53"/>
      <c r="I22" s="52"/>
      <c r="J22" s="35" t="str">
        <f aca="false">IF(H22="","",H22*MAX(1,N(I22)))</f>
        <v/>
      </c>
      <c r="K22" s="51"/>
      <c r="L22" s="103" t="str">
        <f aca="false">IF(K22="","",IFERROR(INDEX(Settings!$L$16:$L$22,MATCH(K22,Settings!$K$16:$K$22,0)),""))</f>
        <v/>
      </c>
      <c r="M22" s="35" t="str">
        <f aca="false">IF(OR(J22="",L22=""),"",J22*L22)</f>
        <v/>
      </c>
      <c r="N22" s="65"/>
      <c r="O22" s="51"/>
      <c r="P22" s="65"/>
      <c r="Q22" s="38" t="str">
        <f aca="true">IF(OR(B22="",K22="Won",K22="Lost"),"",IF(P22="","Set a next step",IF(P22&lt;TODAY(),"Overdue","")))</f>
        <v/>
      </c>
    </row>
    <row r="23" customFormat="false" ht="15" hidden="false" customHeight="false" outlineLevel="0" collapsed="false">
      <c r="A23" s="51"/>
      <c r="B23" s="51"/>
      <c r="C23" s="51"/>
      <c r="D23" s="51"/>
      <c r="E23" s="51"/>
      <c r="F23" s="51"/>
      <c r="G23" s="51"/>
      <c r="H23" s="53"/>
      <c r="I23" s="52"/>
      <c r="J23" s="35" t="str">
        <f aca="false">IF(H23="","",H23*MAX(1,N(I23)))</f>
        <v/>
      </c>
      <c r="K23" s="51"/>
      <c r="L23" s="103" t="str">
        <f aca="false">IF(K23="","",IFERROR(INDEX(Settings!$L$16:$L$22,MATCH(K23,Settings!$K$16:$K$22,0)),""))</f>
        <v/>
      </c>
      <c r="M23" s="35" t="str">
        <f aca="false">IF(OR(J23="",L23=""),"",J23*L23)</f>
        <v/>
      </c>
      <c r="N23" s="65"/>
      <c r="O23" s="51"/>
      <c r="P23" s="65"/>
      <c r="Q23" s="38" t="str">
        <f aca="true">IF(OR(B23="",K23="Won",K23="Lost"),"",IF(P23="","Set a next step",IF(P23&lt;TODAY(),"Overdue","")))</f>
        <v/>
      </c>
    </row>
    <row r="24" customFormat="false" ht="15" hidden="false" customHeight="false" outlineLevel="0" collapsed="false">
      <c r="A24" s="51"/>
      <c r="B24" s="51"/>
      <c r="C24" s="51"/>
      <c r="D24" s="51"/>
      <c r="E24" s="51"/>
      <c r="F24" s="51"/>
      <c r="G24" s="51"/>
      <c r="H24" s="53"/>
      <c r="I24" s="52"/>
      <c r="J24" s="35" t="str">
        <f aca="false">IF(H24="","",H24*MAX(1,N(I24)))</f>
        <v/>
      </c>
      <c r="K24" s="51"/>
      <c r="L24" s="103" t="str">
        <f aca="false">IF(K24="","",IFERROR(INDEX(Settings!$L$16:$L$22,MATCH(K24,Settings!$K$16:$K$22,0)),""))</f>
        <v/>
      </c>
      <c r="M24" s="35" t="str">
        <f aca="false">IF(OR(J24="",L24=""),"",J24*L24)</f>
        <v/>
      </c>
      <c r="N24" s="65"/>
      <c r="O24" s="51"/>
      <c r="P24" s="65"/>
      <c r="Q24" s="38" t="str">
        <f aca="true">IF(OR(B24="",K24="Won",K24="Lost"),"",IF(P24="","Set a next step",IF(P24&lt;TODAY(),"Overdue","")))</f>
        <v/>
      </c>
    </row>
    <row r="25" customFormat="false" ht="15" hidden="false" customHeight="false" outlineLevel="0" collapsed="false">
      <c r="A25" s="51"/>
      <c r="B25" s="51"/>
      <c r="C25" s="51"/>
      <c r="D25" s="51"/>
      <c r="E25" s="51"/>
      <c r="F25" s="51"/>
      <c r="G25" s="51"/>
      <c r="H25" s="53"/>
      <c r="I25" s="52"/>
      <c r="J25" s="35" t="str">
        <f aca="false">IF(H25="","",H25*MAX(1,N(I25)))</f>
        <v/>
      </c>
      <c r="K25" s="51"/>
      <c r="L25" s="103" t="str">
        <f aca="false">IF(K25="","",IFERROR(INDEX(Settings!$L$16:$L$22,MATCH(K25,Settings!$K$16:$K$22,0)),""))</f>
        <v/>
      </c>
      <c r="M25" s="35" t="str">
        <f aca="false">IF(OR(J25="",L25=""),"",J25*L25)</f>
        <v/>
      </c>
      <c r="N25" s="65"/>
      <c r="O25" s="51"/>
      <c r="P25" s="65"/>
      <c r="Q25" s="38" t="str">
        <f aca="true">IF(OR(B25="",K25="Won",K25="Lost"),"",IF(P25="","Set a next step",IF(P25&lt;TODAY(),"Overdue","")))</f>
        <v/>
      </c>
    </row>
    <row r="26" customFormat="false" ht="15" hidden="false" customHeight="false" outlineLevel="0" collapsed="false">
      <c r="A26" s="51"/>
      <c r="B26" s="51"/>
      <c r="C26" s="51"/>
      <c r="D26" s="51"/>
      <c r="E26" s="51"/>
      <c r="F26" s="51"/>
      <c r="G26" s="51"/>
      <c r="H26" s="53"/>
      <c r="I26" s="52"/>
      <c r="J26" s="35" t="str">
        <f aca="false">IF(H26="","",H26*MAX(1,N(I26)))</f>
        <v/>
      </c>
      <c r="K26" s="51"/>
      <c r="L26" s="103" t="str">
        <f aca="false">IF(K26="","",IFERROR(INDEX(Settings!$L$16:$L$22,MATCH(K26,Settings!$K$16:$K$22,0)),""))</f>
        <v/>
      </c>
      <c r="M26" s="35" t="str">
        <f aca="false">IF(OR(J26="",L26=""),"",J26*L26)</f>
        <v/>
      </c>
      <c r="N26" s="65"/>
      <c r="O26" s="51"/>
      <c r="P26" s="65"/>
      <c r="Q26" s="38" t="str">
        <f aca="true">IF(OR(B26="",K26="Won",K26="Lost"),"",IF(P26="","Set a next step",IF(P26&lt;TODAY(),"Overdue","")))</f>
        <v/>
      </c>
    </row>
    <row r="27" customFormat="false" ht="15" hidden="false" customHeight="false" outlineLevel="0" collapsed="false">
      <c r="A27" s="51"/>
      <c r="B27" s="51"/>
      <c r="C27" s="51"/>
      <c r="D27" s="51"/>
      <c r="E27" s="51"/>
      <c r="F27" s="51"/>
      <c r="G27" s="51"/>
      <c r="H27" s="53"/>
      <c r="I27" s="52"/>
      <c r="J27" s="35" t="str">
        <f aca="false">IF(H27="","",H27*MAX(1,N(I27)))</f>
        <v/>
      </c>
      <c r="K27" s="51"/>
      <c r="L27" s="103" t="str">
        <f aca="false">IF(K27="","",IFERROR(INDEX(Settings!$L$16:$L$22,MATCH(K27,Settings!$K$16:$K$22,0)),""))</f>
        <v/>
      </c>
      <c r="M27" s="35" t="str">
        <f aca="false">IF(OR(J27="",L27=""),"",J27*L27)</f>
        <v/>
      </c>
      <c r="N27" s="65"/>
      <c r="O27" s="51"/>
      <c r="P27" s="65"/>
      <c r="Q27" s="38" t="str">
        <f aca="true">IF(OR(B27="",K27="Won",K27="Lost"),"",IF(P27="","Set a next step",IF(P27&lt;TODAY(),"Overdue","")))</f>
        <v/>
      </c>
    </row>
    <row r="28" customFormat="false" ht="15" hidden="false" customHeight="false" outlineLevel="0" collapsed="false">
      <c r="A28" s="51"/>
      <c r="B28" s="51"/>
      <c r="C28" s="51"/>
      <c r="D28" s="51"/>
      <c r="E28" s="51"/>
      <c r="F28" s="51"/>
      <c r="G28" s="51"/>
      <c r="H28" s="53"/>
      <c r="I28" s="52"/>
      <c r="J28" s="35" t="str">
        <f aca="false">IF(H28="","",H28*MAX(1,N(I28)))</f>
        <v/>
      </c>
      <c r="K28" s="51"/>
      <c r="L28" s="103" t="str">
        <f aca="false">IF(K28="","",IFERROR(INDEX(Settings!$L$16:$L$22,MATCH(K28,Settings!$K$16:$K$22,0)),""))</f>
        <v/>
      </c>
      <c r="M28" s="35" t="str">
        <f aca="false">IF(OR(J28="",L28=""),"",J28*L28)</f>
        <v/>
      </c>
      <c r="N28" s="65"/>
      <c r="O28" s="51"/>
      <c r="P28" s="65"/>
      <c r="Q28" s="38" t="str">
        <f aca="true">IF(OR(B28="",K28="Won",K28="Lost"),"",IF(P28="","Set a next step",IF(P28&lt;TODAY(),"Overdue","")))</f>
        <v/>
      </c>
    </row>
    <row r="29" customFormat="false" ht="15" hidden="false" customHeight="false" outlineLevel="0" collapsed="false">
      <c r="A29" s="51"/>
      <c r="B29" s="51"/>
      <c r="C29" s="51"/>
      <c r="D29" s="51"/>
      <c r="E29" s="51"/>
      <c r="F29" s="51"/>
      <c r="G29" s="51"/>
      <c r="H29" s="53"/>
      <c r="I29" s="52"/>
      <c r="J29" s="35" t="str">
        <f aca="false">IF(H29="","",H29*MAX(1,N(I29)))</f>
        <v/>
      </c>
      <c r="K29" s="51"/>
      <c r="L29" s="103" t="str">
        <f aca="false">IF(K29="","",IFERROR(INDEX(Settings!$L$16:$L$22,MATCH(K29,Settings!$K$16:$K$22,0)),""))</f>
        <v/>
      </c>
      <c r="M29" s="35" t="str">
        <f aca="false">IF(OR(J29="",L29=""),"",J29*L29)</f>
        <v/>
      </c>
      <c r="N29" s="65"/>
      <c r="O29" s="51"/>
      <c r="P29" s="65"/>
      <c r="Q29" s="38" t="str">
        <f aca="true">IF(OR(B29="",K29="Won",K29="Lost"),"",IF(P29="","Set a next step",IF(P29&lt;TODAY(),"Overdue","")))</f>
        <v/>
      </c>
    </row>
    <row r="30" customFormat="false" ht="15" hidden="false" customHeight="false" outlineLevel="0" collapsed="false">
      <c r="A30" s="51"/>
      <c r="B30" s="51"/>
      <c r="C30" s="51"/>
      <c r="D30" s="51"/>
      <c r="E30" s="51"/>
      <c r="F30" s="51"/>
      <c r="G30" s="51"/>
      <c r="H30" s="53"/>
      <c r="I30" s="52"/>
      <c r="J30" s="35" t="str">
        <f aca="false">IF(H30="","",H30*MAX(1,N(I30)))</f>
        <v/>
      </c>
      <c r="K30" s="51"/>
      <c r="L30" s="103" t="str">
        <f aca="false">IF(K30="","",IFERROR(INDEX(Settings!$L$16:$L$22,MATCH(K30,Settings!$K$16:$K$22,0)),""))</f>
        <v/>
      </c>
      <c r="M30" s="35" t="str">
        <f aca="false">IF(OR(J30="",L30=""),"",J30*L30)</f>
        <v/>
      </c>
      <c r="N30" s="65"/>
      <c r="O30" s="51"/>
      <c r="P30" s="65"/>
      <c r="Q30" s="38" t="str">
        <f aca="true">IF(OR(B30="",K30="Won",K30="Lost"),"",IF(P30="","Set a next step",IF(P30&lt;TODAY(),"Overdue","")))</f>
        <v/>
      </c>
    </row>
    <row r="31" customFormat="false" ht="15" hidden="false" customHeight="false" outlineLevel="0" collapsed="false">
      <c r="A31" s="51"/>
      <c r="B31" s="51"/>
      <c r="C31" s="51"/>
      <c r="D31" s="51"/>
      <c r="E31" s="51"/>
      <c r="F31" s="51"/>
      <c r="G31" s="51"/>
      <c r="H31" s="53"/>
      <c r="I31" s="52"/>
      <c r="J31" s="35" t="str">
        <f aca="false">IF(H31="","",H31*MAX(1,N(I31)))</f>
        <v/>
      </c>
      <c r="K31" s="51"/>
      <c r="L31" s="103" t="str">
        <f aca="false">IF(K31="","",IFERROR(INDEX(Settings!$L$16:$L$22,MATCH(K31,Settings!$K$16:$K$22,0)),""))</f>
        <v/>
      </c>
      <c r="M31" s="35" t="str">
        <f aca="false">IF(OR(J31="",L31=""),"",J31*L31)</f>
        <v/>
      </c>
      <c r="N31" s="65"/>
      <c r="O31" s="51"/>
      <c r="P31" s="65"/>
      <c r="Q31" s="38" t="str">
        <f aca="true">IF(OR(B31="",K31="Won",K31="Lost"),"",IF(P31="","Set a next step",IF(P31&lt;TODAY(),"Overdue","")))</f>
        <v/>
      </c>
    </row>
    <row r="32" customFormat="false" ht="15" hidden="false" customHeight="false" outlineLevel="0" collapsed="false">
      <c r="A32" s="51"/>
      <c r="B32" s="51"/>
      <c r="C32" s="51"/>
      <c r="D32" s="51"/>
      <c r="E32" s="51"/>
      <c r="F32" s="51"/>
      <c r="G32" s="51"/>
      <c r="H32" s="53"/>
      <c r="I32" s="52"/>
      <c r="J32" s="35" t="str">
        <f aca="false">IF(H32="","",H32*MAX(1,N(I32)))</f>
        <v/>
      </c>
      <c r="K32" s="51"/>
      <c r="L32" s="103" t="str">
        <f aca="false">IF(K32="","",IFERROR(INDEX(Settings!$L$16:$L$22,MATCH(K32,Settings!$K$16:$K$22,0)),""))</f>
        <v/>
      </c>
      <c r="M32" s="35" t="str">
        <f aca="false">IF(OR(J32="",L32=""),"",J32*L32)</f>
        <v/>
      </c>
      <c r="N32" s="65"/>
      <c r="O32" s="51"/>
      <c r="P32" s="65"/>
      <c r="Q32" s="38" t="str">
        <f aca="true">IF(OR(B32="",K32="Won",K32="Lost"),"",IF(P32="","Set a next step",IF(P32&lt;TODAY(),"Overdue","")))</f>
        <v/>
      </c>
    </row>
    <row r="33" customFormat="false" ht="15" hidden="false" customHeight="false" outlineLevel="0" collapsed="false">
      <c r="A33" s="51"/>
      <c r="B33" s="51"/>
      <c r="C33" s="51"/>
      <c r="D33" s="51"/>
      <c r="E33" s="51"/>
      <c r="F33" s="51"/>
      <c r="G33" s="51"/>
      <c r="H33" s="53"/>
      <c r="I33" s="52"/>
      <c r="J33" s="35" t="str">
        <f aca="false">IF(H33="","",H33*MAX(1,N(I33)))</f>
        <v/>
      </c>
      <c r="K33" s="51"/>
      <c r="L33" s="103" t="str">
        <f aca="false">IF(K33="","",IFERROR(INDEX(Settings!$L$16:$L$22,MATCH(K33,Settings!$K$16:$K$22,0)),""))</f>
        <v/>
      </c>
      <c r="M33" s="35" t="str">
        <f aca="false">IF(OR(J33="",L33=""),"",J33*L33)</f>
        <v/>
      </c>
      <c r="N33" s="65"/>
      <c r="O33" s="51"/>
      <c r="P33" s="65"/>
      <c r="Q33" s="38" t="str">
        <f aca="true">IF(OR(B33="",K33="Won",K33="Lost"),"",IF(P33="","Set a next step",IF(P33&lt;TODAY(),"Overdue","")))</f>
        <v/>
      </c>
    </row>
    <row r="34" customFormat="false" ht="15" hidden="false" customHeight="false" outlineLevel="0" collapsed="false">
      <c r="A34" s="51"/>
      <c r="B34" s="51"/>
      <c r="C34" s="51"/>
      <c r="D34" s="51"/>
      <c r="E34" s="51"/>
      <c r="F34" s="51"/>
      <c r="G34" s="51"/>
      <c r="H34" s="53"/>
      <c r="I34" s="52"/>
      <c r="J34" s="35" t="str">
        <f aca="false">IF(H34="","",H34*MAX(1,N(I34)))</f>
        <v/>
      </c>
      <c r="K34" s="51"/>
      <c r="L34" s="103" t="str">
        <f aca="false">IF(K34="","",IFERROR(INDEX(Settings!$L$16:$L$22,MATCH(K34,Settings!$K$16:$K$22,0)),""))</f>
        <v/>
      </c>
      <c r="M34" s="35" t="str">
        <f aca="false">IF(OR(J34="",L34=""),"",J34*L34)</f>
        <v/>
      </c>
      <c r="N34" s="65"/>
      <c r="O34" s="51"/>
      <c r="P34" s="65"/>
      <c r="Q34" s="38" t="str">
        <f aca="true">IF(OR(B34="",K34="Won",K34="Lost"),"",IF(P34="","Set a next step",IF(P34&lt;TODAY(),"Overdue","")))</f>
        <v/>
      </c>
    </row>
    <row r="35" customFormat="false" ht="15" hidden="false" customHeight="false" outlineLevel="0" collapsed="false">
      <c r="A35" s="51"/>
      <c r="B35" s="51"/>
      <c r="C35" s="51"/>
      <c r="D35" s="51"/>
      <c r="E35" s="51"/>
      <c r="F35" s="51"/>
      <c r="G35" s="51"/>
      <c r="H35" s="53"/>
      <c r="I35" s="52"/>
      <c r="J35" s="35" t="str">
        <f aca="false">IF(H35="","",H35*MAX(1,N(I35)))</f>
        <v/>
      </c>
      <c r="K35" s="51"/>
      <c r="L35" s="103" t="str">
        <f aca="false">IF(K35="","",IFERROR(INDEX(Settings!$L$16:$L$22,MATCH(K35,Settings!$K$16:$K$22,0)),""))</f>
        <v/>
      </c>
      <c r="M35" s="35" t="str">
        <f aca="false">IF(OR(J35="",L35=""),"",J35*L35)</f>
        <v/>
      </c>
      <c r="N35" s="65"/>
      <c r="O35" s="51"/>
      <c r="P35" s="65"/>
      <c r="Q35" s="38" t="str">
        <f aca="true">IF(OR(B35="",K35="Won",K35="Lost"),"",IF(P35="","Set a next step",IF(P35&lt;TODAY(),"Overdue","")))</f>
        <v/>
      </c>
    </row>
    <row r="36" customFormat="false" ht="15" hidden="false" customHeight="false" outlineLevel="0" collapsed="false">
      <c r="A36" s="51"/>
      <c r="B36" s="51"/>
      <c r="C36" s="51"/>
      <c r="D36" s="51"/>
      <c r="E36" s="51"/>
      <c r="F36" s="51"/>
      <c r="G36" s="51"/>
      <c r="H36" s="53"/>
      <c r="I36" s="52"/>
      <c r="J36" s="35" t="str">
        <f aca="false">IF(H36="","",H36*MAX(1,N(I36)))</f>
        <v/>
      </c>
      <c r="K36" s="51"/>
      <c r="L36" s="103" t="str">
        <f aca="false">IF(K36="","",IFERROR(INDEX(Settings!$L$16:$L$22,MATCH(K36,Settings!$K$16:$K$22,0)),""))</f>
        <v/>
      </c>
      <c r="M36" s="35" t="str">
        <f aca="false">IF(OR(J36="",L36=""),"",J36*L36)</f>
        <v/>
      </c>
      <c r="N36" s="65"/>
      <c r="O36" s="51"/>
      <c r="P36" s="65"/>
      <c r="Q36" s="38" t="str">
        <f aca="true">IF(OR(B36="",K36="Won",K36="Lost"),"",IF(P36="","Set a next step",IF(P36&lt;TODAY(),"Overdue","")))</f>
        <v/>
      </c>
    </row>
    <row r="37" customFormat="false" ht="15" hidden="false" customHeight="false" outlineLevel="0" collapsed="false">
      <c r="A37" s="51"/>
      <c r="B37" s="51"/>
      <c r="C37" s="51"/>
      <c r="D37" s="51"/>
      <c r="E37" s="51"/>
      <c r="F37" s="51"/>
      <c r="G37" s="51"/>
      <c r="H37" s="53"/>
      <c r="I37" s="52"/>
      <c r="J37" s="35" t="str">
        <f aca="false">IF(H37="","",H37*MAX(1,N(I37)))</f>
        <v/>
      </c>
      <c r="K37" s="51"/>
      <c r="L37" s="103" t="str">
        <f aca="false">IF(K37="","",IFERROR(INDEX(Settings!$L$16:$L$22,MATCH(K37,Settings!$K$16:$K$22,0)),""))</f>
        <v/>
      </c>
      <c r="M37" s="35" t="str">
        <f aca="false">IF(OR(J37="",L37=""),"",J37*L37)</f>
        <v/>
      </c>
      <c r="N37" s="65"/>
      <c r="O37" s="51"/>
      <c r="P37" s="65"/>
      <c r="Q37" s="38" t="str">
        <f aca="true">IF(OR(B37="",K37="Won",K37="Lost"),"",IF(P37="","Set a next step",IF(P37&lt;TODAY(),"Overdue","")))</f>
        <v/>
      </c>
    </row>
    <row r="38" customFormat="false" ht="15" hidden="false" customHeight="false" outlineLevel="0" collapsed="false">
      <c r="A38" s="51"/>
      <c r="B38" s="51"/>
      <c r="C38" s="51"/>
      <c r="D38" s="51"/>
      <c r="E38" s="51"/>
      <c r="F38" s="51"/>
      <c r="G38" s="51"/>
      <c r="H38" s="53"/>
      <c r="I38" s="52"/>
      <c r="J38" s="35" t="str">
        <f aca="false">IF(H38="","",H38*MAX(1,N(I38)))</f>
        <v/>
      </c>
      <c r="K38" s="51"/>
      <c r="L38" s="103" t="str">
        <f aca="false">IF(K38="","",IFERROR(INDEX(Settings!$L$16:$L$22,MATCH(K38,Settings!$K$16:$K$22,0)),""))</f>
        <v/>
      </c>
      <c r="M38" s="35" t="str">
        <f aca="false">IF(OR(J38="",L38=""),"",J38*L38)</f>
        <v/>
      </c>
      <c r="N38" s="65"/>
      <c r="O38" s="51"/>
      <c r="P38" s="65"/>
      <c r="Q38" s="38" t="str">
        <f aca="true">IF(OR(B38="",K38="Won",K38="Lost"),"",IF(P38="","Set a next step",IF(P38&lt;TODAY(),"Overdue","")))</f>
        <v/>
      </c>
    </row>
    <row r="39" customFormat="false" ht="15" hidden="false" customHeight="false" outlineLevel="0" collapsed="false">
      <c r="A39" s="51"/>
      <c r="B39" s="51"/>
      <c r="C39" s="51"/>
      <c r="D39" s="51"/>
      <c r="E39" s="51"/>
      <c r="F39" s="51"/>
      <c r="G39" s="51"/>
      <c r="H39" s="53"/>
      <c r="I39" s="52"/>
      <c r="J39" s="35" t="str">
        <f aca="false">IF(H39="","",H39*MAX(1,N(I39)))</f>
        <v/>
      </c>
      <c r="K39" s="51"/>
      <c r="L39" s="103" t="str">
        <f aca="false">IF(K39="","",IFERROR(INDEX(Settings!$L$16:$L$22,MATCH(K39,Settings!$K$16:$K$22,0)),""))</f>
        <v/>
      </c>
      <c r="M39" s="35" t="str">
        <f aca="false">IF(OR(J39="",L39=""),"",J39*L39)</f>
        <v/>
      </c>
      <c r="N39" s="65"/>
      <c r="O39" s="51"/>
      <c r="P39" s="65"/>
      <c r="Q39" s="38" t="str">
        <f aca="true">IF(OR(B39="",K39="Won",K39="Lost"),"",IF(P39="","Set a next step",IF(P39&lt;TODAY(),"Overdue","")))</f>
        <v/>
      </c>
    </row>
    <row r="40" customFormat="false" ht="15" hidden="false" customHeight="false" outlineLevel="0" collapsed="false">
      <c r="A40" s="51"/>
      <c r="B40" s="51"/>
      <c r="C40" s="51"/>
      <c r="D40" s="51"/>
      <c r="E40" s="51"/>
      <c r="F40" s="51"/>
      <c r="G40" s="51"/>
      <c r="H40" s="53"/>
      <c r="I40" s="52"/>
      <c r="J40" s="35" t="str">
        <f aca="false">IF(H40="","",H40*MAX(1,N(I40)))</f>
        <v/>
      </c>
      <c r="K40" s="51"/>
      <c r="L40" s="103" t="str">
        <f aca="false">IF(K40="","",IFERROR(INDEX(Settings!$L$16:$L$22,MATCH(K40,Settings!$K$16:$K$22,0)),""))</f>
        <v/>
      </c>
      <c r="M40" s="35" t="str">
        <f aca="false">IF(OR(J40="",L40=""),"",J40*L40)</f>
        <v/>
      </c>
      <c r="N40" s="65"/>
      <c r="O40" s="51"/>
      <c r="P40" s="65"/>
      <c r="Q40" s="38" t="str">
        <f aca="true">IF(OR(B40="",K40="Won",K40="Lost"),"",IF(P40="","Set a next step",IF(P40&lt;TODAY(),"Overdue","")))</f>
        <v/>
      </c>
    </row>
    <row r="41" customFormat="false" ht="15" hidden="false" customHeight="false" outlineLevel="0" collapsed="false">
      <c r="A41" s="51"/>
      <c r="B41" s="51"/>
      <c r="C41" s="51"/>
      <c r="D41" s="51"/>
      <c r="E41" s="51"/>
      <c r="F41" s="51"/>
      <c r="G41" s="51"/>
      <c r="H41" s="53"/>
      <c r="I41" s="52"/>
      <c r="J41" s="35" t="str">
        <f aca="false">IF(H41="","",H41*MAX(1,N(I41)))</f>
        <v/>
      </c>
      <c r="K41" s="51"/>
      <c r="L41" s="103" t="str">
        <f aca="false">IF(K41="","",IFERROR(INDEX(Settings!$L$16:$L$22,MATCH(K41,Settings!$K$16:$K$22,0)),""))</f>
        <v/>
      </c>
      <c r="M41" s="35" t="str">
        <f aca="false">IF(OR(J41="",L41=""),"",J41*L41)</f>
        <v/>
      </c>
      <c r="N41" s="65"/>
      <c r="O41" s="51"/>
      <c r="P41" s="65"/>
      <c r="Q41" s="38" t="str">
        <f aca="true">IF(OR(B41="",K41="Won",K41="Lost"),"",IF(P41="","Set a next step",IF(P41&lt;TODAY(),"Overdue","")))</f>
        <v/>
      </c>
    </row>
    <row r="42" customFormat="false" ht="15" hidden="false" customHeight="false" outlineLevel="0" collapsed="false">
      <c r="A42" s="51"/>
      <c r="B42" s="51"/>
      <c r="C42" s="51"/>
      <c r="D42" s="51"/>
      <c r="E42" s="51"/>
      <c r="F42" s="51"/>
      <c r="G42" s="51"/>
      <c r="H42" s="53"/>
      <c r="I42" s="52"/>
      <c r="J42" s="35" t="str">
        <f aca="false">IF(H42="","",H42*MAX(1,N(I42)))</f>
        <v/>
      </c>
      <c r="K42" s="51"/>
      <c r="L42" s="103" t="str">
        <f aca="false">IF(K42="","",IFERROR(INDEX(Settings!$L$16:$L$22,MATCH(K42,Settings!$K$16:$K$22,0)),""))</f>
        <v/>
      </c>
      <c r="M42" s="35" t="str">
        <f aca="false">IF(OR(J42="",L42=""),"",J42*L42)</f>
        <v/>
      </c>
      <c r="N42" s="65"/>
      <c r="O42" s="51"/>
      <c r="P42" s="65"/>
      <c r="Q42" s="38" t="str">
        <f aca="true">IF(OR(B42="",K42="Won",K42="Lost"),"",IF(P42="","Set a next step",IF(P42&lt;TODAY(),"Overdue","")))</f>
        <v/>
      </c>
    </row>
    <row r="43" customFormat="false" ht="15" hidden="false" customHeight="false" outlineLevel="0" collapsed="false">
      <c r="A43" s="51"/>
      <c r="B43" s="51"/>
      <c r="C43" s="51"/>
      <c r="D43" s="51"/>
      <c r="E43" s="51"/>
      <c r="F43" s="51"/>
      <c r="G43" s="51"/>
      <c r="H43" s="53"/>
      <c r="I43" s="52"/>
      <c r="J43" s="35" t="str">
        <f aca="false">IF(H43="","",H43*MAX(1,N(I43)))</f>
        <v/>
      </c>
      <c r="K43" s="51"/>
      <c r="L43" s="103" t="str">
        <f aca="false">IF(K43="","",IFERROR(INDEX(Settings!$L$16:$L$22,MATCH(K43,Settings!$K$16:$K$22,0)),""))</f>
        <v/>
      </c>
      <c r="M43" s="35" t="str">
        <f aca="false">IF(OR(J43="",L43=""),"",J43*L43)</f>
        <v/>
      </c>
      <c r="N43" s="65"/>
      <c r="O43" s="51"/>
      <c r="P43" s="65"/>
      <c r="Q43" s="38" t="str">
        <f aca="true">IF(OR(B43="",K43="Won",K43="Lost"),"",IF(P43="","Set a next step",IF(P43&lt;TODAY(),"Overdue","")))</f>
        <v/>
      </c>
    </row>
    <row r="44" customFormat="false" ht="15" hidden="false" customHeight="false" outlineLevel="0" collapsed="false">
      <c r="A44" s="51"/>
      <c r="B44" s="51"/>
      <c r="C44" s="51"/>
      <c r="D44" s="51"/>
      <c r="E44" s="51"/>
      <c r="F44" s="51"/>
      <c r="G44" s="51"/>
      <c r="H44" s="53"/>
      <c r="I44" s="52"/>
      <c r="J44" s="35" t="str">
        <f aca="false">IF(H44="","",H44*MAX(1,N(I44)))</f>
        <v/>
      </c>
      <c r="K44" s="51"/>
      <c r="L44" s="103" t="str">
        <f aca="false">IF(K44="","",IFERROR(INDEX(Settings!$L$16:$L$22,MATCH(K44,Settings!$K$16:$K$22,0)),""))</f>
        <v/>
      </c>
      <c r="M44" s="35" t="str">
        <f aca="false">IF(OR(J44="",L44=""),"",J44*L44)</f>
        <v/>
      </c>
      <c r="N44" s="65"/>
      <c r="O44" s="51"/>
      <c r="P44" s="65"/>
      <c r="Q44" s="38" t="str">
        <f aca="true">IF(OR(B44="",K44="Won",K44="Lost"),"",IF(P44="","Set a next step",IF(P44&lt;TODAY(),"Overdue","")))</f>
        <v/>
      </c>
    </row>
    <row r="45" customFormat="false" ht="15" hidden="false" customHeight="false" outlineLevel="0" collapsed="false">
      <c r="A45" s="51"/>
      <c r="B45" s="51"/>
      <c r="C45" s="51"/>
      <c r="D45" s="51"/>
      <c r="E45" s="51"/>
      <c r="F45" s="51"/>
      <c r="G45" s="51"/>
      <c r="H45" s="53"/>
      <c r="I45" s="52"/>
      <c r="J45" s="35" t="str">
        <f aca="false">IF(H45="","",H45*MAX(1,N(I45)))</f>
        <v/>
      </c>
      <c r="K45" s="51"/>
      <c r="L45" s="103" t="str">
        <f aca="false">IF(K45="","",IFERROR(INDEX(Settings!$L$16:$L$22,MATCH(K45,Settings!$K$16:$K$22,0)),""))</f>
        <v/>
      </c>
      <c r="M45" s="35" t="str">
        <f aca="false">IF(OR(J45="",L45=""),"",J45*L45)</f>
        <v/>
      </c>
      <c r="N45" s="65"/>
      <c r="O45" s="51"/>
      <c r="P45" s="65"/>
      <c r="Q45" s="38" t="str">
        <f aca="true">IF(OR(B45="",K45="Won",K45="Lost"),"",IF(P45="","Set a next step",IF(P45&lt;TODAY(),"Overdue","")))</f>
        <v/>
      </c>
    </row>
    <row r="46" customFormat="false" ht="15" hidden="false" customHeight="false" outlineLevel="0" collapsed="false">
      <c r="A46" s="51"/>
      <c r="B46" s="51"/>
      <c r="C46" s="51"/>
      <c r="D46" s="51"/>
      <c r="E46" s="51"/>
      <c r="F46" s="51"/>
      <c r="G46" s="51"/>
      <c r="H46" s="53"/>
      <c r="I46" s="52"/>
      <c r="J46" s="35" t="str">
        <f aca="false">IF(H46="","",H46*MAX(1,N(I46)))</f>
        <v/>
      </c>
      <c r="K46" s="51"/>
      <c r="L46" s="103" t="str">
        <f aca="false">IF(K46="","",IFERROR(INDEX(Settings!$L$16:$L$22,MATCH(K46,Settings!$K$16:$K$22,0)),""))</f>
        <v/>
      </c>
      <c r="M46" s="35" t="str">
        <f aca="false">IF(OR(J46="",L46=""),"",J46*L46)</f>
        <v/>
      </c>
      <c r="N46" s="65"/>
      <c r="O46" s="51"/>
      <c r="P46" s="65"/>
      <c r="Q46" s="38" t="str">
        <f aca="true">IF(OR(B46="",K46="Won",K46="Lost"),"",IF(P46="","Set a next step",IF(P46&lt;TODAY(),"Overdue","")))</f>
        <v/>
      </c>
    </row>
    <row r="47" customFormat="false" ht="15" hidden="false" customHeight="false" outlineLevel="0" collapsed="false">
      <c r="A47" s="51"/>
      <c r="B47" s="51"/>
      <c r="C47" s="51"/>
      <c r="D47" s="51"/>
      <c r="E47" s="51"/>
      <c r="F47" s="51"/>
      <c r="G47" s="51"/>
      <c r="H47" s="53"/>
      <c r="I47" s="52"/>
      <c r="J47" s="35" t="str">
        <f aca="false">IF(H47="","",H47*MAX(1,N(I47)))</f>
        <v/>
      </c>
      <c r="K47" s="51"/>
      <c r="L47" s="103" t="str">
        <f aca="false">IF(K47="","",IFERROR(INDEX(Settings!$L$16:$L$22,MATCH(K47,Settings!$K$16:$K$22,0)),""))</f>
        <v/>
      </c>
      <c r="M47" s="35" t="str">
        <f aca="false">IF(OR(J47="",L47=""),"",J47*L47)</f>
        <v/>
      </c>
      <c r="N47" s="65"/>
      <c r="O47" s="51"/>
      <c r="P47" s="65"/>
      <c r="Q47" s="38" t="str">
        <f aca="true">IF(OR(B47="",K47="Won",K47="Lost"),"",IF(P47="","Set a next step",IF(P47&lt;TODAY(),"Overdue","")))</f>
        <v/>
      </c>
    </row>
    <row r="48" customFormat="false" ht="15" hidden="false" customHeight="false" outlineLevel="0" collapsed="false">
      <c r="A48" s="51"/>
      <c r="B48" s="51"/>
      <c r="C48" s="51"/>
      <c r="D48" s="51"/>
      <c r="E48" s="51"/>
      <c r="F48" s="51"/>
      <c r="G48" s="51"/>
      <c r="H48" s="53"/>
      <c r="I48" s="52"/>
      <c r="J48" s="35" t="str">
        <f aca="false">IF(H48="","",H48*MAX(1,N(I48)))</f>
        <v/>
      </c>
      <c r="K48" s="51"/>
      <c r="L48" s="103" t="str">
        <f aca="false">IF(K48="","",IFERROR(INDEX(Settings!$L$16:$L$22,MATCH(K48,Settings!$K$16:$K$22,0)),""))</f>
        <v/>
      </c>
      <c r="M48" s="35" t="str">
        <f aca="false">IF(OR(J48="",L48=""),"",J48*L48)</f>
        <v/>
      </c>
      <c r="N48" s="65"/>
      <c r="O48" s="51"/>
      <c r="P48" s="65"/>
      <c r="Q48" s="38" t="str">
        <f aca="true">IF(OR(B48="",K48="Won",K48="Lost"),"",IF(P48="","Set a next step",IF(P48&lt;TODAY(),"Overdue","")))</f>
        <v/>
      </c>
    </row>
    <row r="49" customFormat="false" ht="15" hidden="false" customHeight="false" outlineLevel="0" collapsed="false">
      <c r="A49" s="51"/>
      <c r="B49" s="51"/>
      <c r="C49" s="51"/>
      <c r="D49" s="51"/>
      <c r="E49" s="51"/>
      <c r="F49" s="51"/>
      <c r="G49" s="51"/>
      <c r="H49" s="53"/>
      <c r="I49" s="52"/>
      <c r="J49" s="35" t="str">
        <f aca="false">IF(H49="","",H49*MAX(1,N(I49)))</f>
        <v/>
      </c>
      <c r="K49" s="51"/>
      <c r="L49" s="103" t="str">
        <f aca="false">IF(K49="","",IFERROR(INDEX(Settings!$L$16:$L$22,MATCH(K49,Settings!$K$16:$K$22,0)),""))</f>
        <v/>
      </c>
      <c r="M49" s="35" t="str">
        <f aca="false">IF(OR(J49="",L49=""),"",J49*L49)</f>
        <v/>
      </c>
      <c r="N49" s="65"/>
      <c r="O49" s="51"/>
      <c r="P49" s="65"/>
      <c r="Q49" s="38" t="str">
        <f aca="true">IF(OR(B49="",K49="Won",K49="Lost"),"",IF(P49="","Set a next step",IF(P49&lt;TODAY(),"Overdue","")))</f>
        <v/>
      </c>
    </row>
    <row r="50" customFormat="false" ht="15" hidden="false" customHeight="false" outlineLevel="0" collapsed="false">
      <c r="A50" s="51"/>
      <c r="B50" s="51"/>
      <c r="C50" s="51"/>
      <c r="D50" s="51"/>
      <c r="E50" s="51"/>
      <c r="F50" s="51"/>
      <c r="G50" s="51"/>
      <c r="H50" s="53"/>
      <c r="I50" s="52"/>
      <c r="J50" s="35" t="str">
        <f aca="false">IF(H50="","",H50*MAX(1,N(I50)))</f>
        <v/>
      </c>
      <c r="K50" s="51"/>
      <c r="L50" s="103" t="str">
        <f aca="false">IF(K50="","",IFERROR(INDEX(Settings!$L$16:$L$22,MATCH(K50,Settings!$K$16:$K$22,0)),""))</f>
        <v/>
      </c>
      <c r="M50" s="35" t="str">
        <f aca="false">IF(OR(J50="",L50=""),"",J50*L50)</f>
        <v/>
      </c>
      <c r="N50" s="65"/>
      <c r="O50" s="51"/>
      <c r="P50" s="65"/>
      <c r="Q50" s="38" t="str">
        <f aca="true">IF(OR(B50="",K50="Won",K50="Lost"),"",IF(P50="","Set a next step",IF(P50&lt;TODAY(),"Overdue","")))</f>
        <v/>
      </c>
    </row>
    <row r="51" customFormat="false" ht="15" hidden="false" customHeight="false" outlineLevel="0" collapsed="false">
      <c r="A51" s="51"/>
      <c r="B51" s="51"/>
      <c r="C51" s="51"/>
      <c r="D51" s="51"/>
      <c r="E51" s="51"/>
      <c r="F51" s="51"/>
      <c r="G51" s="51"/>
      <c r="H51" s="53"/>
      <c r="I51" s="52"/>
      <c r="J51" s="35" t="str">
        <f aca="false">IF(H51="","",H51*MAX(1,N(I51)))</f>
        <v/>
      </c>
      <c r="K51" s="51"/>
      <c r="L51" s="103" t="str">
        <f aca="false">IF(K51="","",IFERROR(INDEX(Settings!$L$16:$L$22,MATCH(K51,Settings!$K$16:$K$22,0)),""))</f>
        <v/>
      </c>
      <c r="M51" s="35" t="str">
        <f aca="false">IF(OR(J51="",L51=""),"",J51*L51)</f>
        <v/>
      </c>
      <c r="N51" s="65"/>
      <c r="O51" s="51"/>
      <c r="P51" s="65"/>
      <c r="Q51" s="38" t="str">
        <f aca="true">IF(OR(B51="",K51="Won",K51="Lost"),"",IF(P51="","Set a next step",IF(P51&lt;TODAY(),"Overdue","")))</f>
        <v/>
      </c>
    </row>
    <row r="52" customFormat="false" ht="15" hidden="false" customHeight="false" outlineLevel="0" collapsed="false">
      <c r="A52" s="51"/>
      <c r="B52" s="51"/>
      <c r="C52" s="51"/>
      <c r="D52" s="51"/>
      <c r="E52" s="51"/>
      <c r="F52" s="51"/>
      <c r="G52" s="51"/>
      <c r="H52" s="53"/>
      <c r="I52" s="52"/>
      <c r="J52" s="35" t="str">
        <f aca="false">IF(H52="","",H52*MAX(1,N(I52)))</f>
        <v/>
      </c>
      <c r="K52" s="51"/>
      <c r="L52" s="103" t="str">
        <f aca="false">IF(K52="","",IFERROR(INDEX(Settings!$L$16:$L$22,MATCH(K52,Settings!$K$16:$K$22,0)),""))</f>
        <v/>
      </c>
      <c r="M52" s="35" t="str">
        <f aca="false">IF(OR(J52="",L52=""),"",J52*L52)</f>
        <v/>
      </c>
      <c r="N52" s="65"/>
      <c r="O52" s="51"/>
      <c r="P52" s="65"/>
      <c r="Q52" s="38" t="str">
        <f aca="true">IF(OR(B52="",K52="Won",K52="Lost"),"",IF(P52="","Set a next step",IF(P52&lt;TODAY(),"Overdue","")))</f>
        <v/>
      </c>
    </row>
    <row r="53" customFormat="false" ht="15" hidden="false" customHeight="false" outlineLevel="0" collapsed="false">
      <c r="A53" s="51"/>
      <c r="B53" s="51"/>
      <c r="C53" s="51"/>
      <c r="D53" s="51"/>
      <c r="E53" s="51"/>
      <c r="F53" s="51"/>
      <c r="G53" s="51"/>
      <c r="H53" s="53"/>
      <c r="I53" s="52"/>
      <c r="J53" s="35" t="str">
        <f aca="false">IF(H53="","",H53*MAX(1,N(I53)))</f>
        <v/>
      </c>
      <c r="K53" s="51"/>
      <c r="L53" s="103" t="str">
        <f aca="false">IF(K53="","",IFERROR(INDEX(Settings!$L$16:$L$22,MATCH(K53,Settings!$K$16:$K$22,0)),""))</f>
        <v/>
      </c>
      <c r="M53" s="35" t="str">
        <f aca="false">IF(OR(J53="",L53=""),"",J53*L53)</f>
        <v/>
      </c>
      <c r="N53" s="65"/>
      <c r="O53" s="51"/>
      <c r="P53" s="65"/>
      <c r="Q53" s="38" t="str">
        <f aca="true">IF(OR(B53="",K53="Won",K53="Lost"),"",IF(P53="","Set a next step",IF(P53&lt;TODAY(),"Overdue","")))</f>
        <v/>
      </c>
    </row>
    <row r="54" customFormat="false" ht="15" hidden="false" customHeight="false" outlineLevel="0" collapsed="false">
      <c r="A54" s="51"/>
      <c r="B54" s="51"/>
      <c r="C54" s="51"/>
      <c r="D54" s="51"/>
      <c r="E54" s="51"/>
      <c r="F54" s="51"/>
      <c r="G54" s="51"/>
      <c r="H54" s="53"/>
      <c r="I54" s="52"/>
      <c r="J54" s="35" t="str">
        <f aca="false">IF(H54="","",H54*MAX(1,N(I54)))</f>
        <v/>
      </c>
      <c r="K54" s="51"/>
      <c r="L54" s="103" t="str">
        <f aca="false">IF(K54="","",IFERROR(INDEX(Settings!$L$16:$L$22,MATCH(K54,Settings!$K$16:$K$22,0)),""))</f>
        <v/>
      </c>
      <c r="M54" s="35" t="str">
        <f aca="false">IF(OR(J54="",L54=""),"",J54*L54)</f>
        <v/>
      </c>
      <c r="N54" s="65"/>
      <c r="O54" s="51"/>
      <c r="P54" s="65"/>
      <c r="Q54" s="38" t="str">
        <f aca="true">IF(OR(B54="",K54="Won",K54="Lost"),"",IF(P54="","Set a next step",IF(P54&lt;TODAY(),"Overdue","")))</f>
        <v/>
      </c>
    </row>
    <row r="55" customFormat="false" ht="15" hidden="false" customHeight="false" outlineLevel="0" collapsed="false">
      <c r="A55" s="51"/>
      <c r="B55" s="51"/>
      <c r="C55" s="51"/>
      <c r="D55" s="51"/>
      <c r="E55" s="51"/>
      <c r="F55" s="51"/>
      <c r="G55" s="51"/>
      <c r="H55" s="53"/>
      <c r="I55" s="52"/>
      <c r="J55" s="35" t="str">
        <f aca="false">IF(H55="","",H55*MAX(1,N(I55)))</f>
        <v/>
      </c>
      <c r="K55" s="51"/>
      <c r="L55" s="103" t="str">
        <f aca="false">IF(K55="","",IFERROR(INDEX(Settings!$L$16:$L$22,MATCH(K55,Settings!$K$16:$K$22,0)),""))</f>
        <v/>
      </c>
      <c r="M55" s="35" t="str">
        <f aca="false">IF(OR(J55="",L55=""),"",J55*L55)</f>
        <v/>
      </c>
      <c r="N55" s="65"/>
      <c r="O55" s="51"/>
      <c r="P55" s="65"/>
      <c r="Q55" s="38" t="str">
        <f aca="true">IF(OR(B55="",K55="Won",K55="Lost"),"",IF(P55="","Set a next step",IF(P55&lt;TODAY(),"Overdue","")))</f>
        <v/>
      </c>
    </row>
    <row r="56" customFormat="false" ht="15" hidden="false" customHeight="false" outlineLevel="0" collapsed="false">
      <c r="A56" s="51"/>
      <c r="B56" s="51"/>
      <c r="C56" s="51"/>
      <c r="D56" s="51"/>
      <c r="E56" s="51"/>
      <c r="F56" s="51"/>
      <c r="G56" s="51"/>
      <c r="H56" s="53"/>
      <c r="I56" s="52"/>
      <c r="J56" s="35" t="str">
        <f aca="false">IF(H56="","",H56*MAX(1,N(I56)))</f>
        <v/>
      </c>
      <c r="K56" s="51"/>
      <c r="L56" s="103" t="str">
        <f aca="false">IF(K56="","",IFERROR(INDEX(Settings!$L$16:$L$22,MATCH(K56,Settings!$K$16:$K$22,0)),""))</f>
        <v/>
      </c>
      <c r="M56" s="35" t="str">
        <f aca="false">IF(OR(J56="",L56=""),"",J56*L56)</f>
        <v/>
      </c>
      <c r="N56" s="65"/>
      <c r="O56" s="51"/>
      <c r="P56" s="65"/>
      <c r="Q56" s="38" t="str">
        <f aca="true">IF(OR(B56="",K56="Won",K56="Lost"),"",IF(P56="","Set a next step",IF(P56&lt;TODAY(),"Overdue","")))</f>
        <v/>
      </c>
    </row>
    <row r="57" customFormat="false" ht="15" hidden="false" customHeight="false" outlineLevel="0" collapsed="false">
      <c r="A57" s="51"/>
      <c r="B57" s="51"/>
      <c r="C57" s="51"/>
      <c r="D57" s="51"/>
      <c r="E57" s="51"/>
      <c r="F57" s="51"/>
      <c r="G57" s="51"/>
      <c r="H57" s="53"/>
      <c r="I57" s="52"/>
      <c r="J57" s="35" t="str">
        <f aca="false">IF(H57="","",H57*MAX(1,N(I57)))</f>
        <v/>
      </c>
      <c r="K57" s="51"/>
      <c r="L57" s="103" t="str">
        <f aca="false">IF(K57="","",IFERROR(INDEX(Settings!$L$16:$L$22,MATCH(K57,Settings!$K$16:$K$22,0)),""))</f>
        <v/>
      </c>
      <c r="M57" s="35" t="str">
        <f aca="false">IF(OR(J57="",L57=""),"",J57*L57)</f>
        <v/>
      </c>
      <c r="N57" s="65"/>
      <c r="O57" s="51"/>
      <c r="P57" s="65"/>
      <c r="Q57" s="38" t="str">
        <f aca="true">IF(OR(B57="",K57="Won",K57="Lost"),"",IF(P57="","Set a next step",IF(P57&lt;TODAY(),"Overdue","")))</f>
        <v/>
      </c>
    </row>
    <row r="58" customFormat="false" ht="15" hidden="false" customHeight="false" outlineLevel="0" collapsed="false">
      <c r="A58" s="51"/>
      <c r="B58" s="51"/>
      <c r="C58" s="51"/>
      <c r="D58" s="51"/>
      <c r="E58" s="51"/>
      <c r="F58" s="51"/>
      <c r="G58" s="51"/>
      <c r="H58" s="53"/>
      <c r="I58" s="52"/>
      <c r="J58" s="35" t="str">
        <f aca="false">IF(H58="","",H58*MAX(1,N(I58)))</f>
        <v/>
      </c>
      <c r="K58" s="51"/>
      <c r="L58" s="103" t="str">
        <f aca="false">IF(K58="","",IFERROR(INDEX(Settings!$L$16:$L$22,MATCH(K58,Settings!$K$16:$K$22,0)),""))</f>
        <v/>
      </c>
      <c r="M58" s="35" t="str">
        <f aca="false">IF(OR(J58="",L58=""),"",J58*L58)</f>
        <v/>
      </c>
      <c r="N58" s="65"/>
      <c r="O58" s="51"/>
      <c r="P58" s="65"/>
      <c r="Q58" s="38" t="str">
        <f aca="true">IF(OR(B58="",K58="Won",K58="Lost"),"",IF(P58="","Set a next step",IF(P58&lt;TODAY(),"Overdue","")))</f>
        <v/>
      </c>
    </row>
    <row r="59" customFormat="false" ht="15" hidden="false" customHeight="false" outlineLevel="0" collapsed="false">
      <c r="A59" s="51"/>
      <c r="B59" s="51"/>
      <c r="C59" s="51"/>
      <c r="D59" s="51"/>
      <c r="E59" s="51"/>
      <c r="F59" s="51"/>
      <c r="G59" s="51"/>
      <c r="H59" s="53"/>
      <c r="I59" s="52"/>
      <c r="J59" s="35" t="str">
        <f aca="false">IF(H59="","",H59*MAX(1,N(I59)))</f>
        <v/>
      </c>
      <c r="K59" s="51"/>
      <c r="L59" s="103" t="str">
        <f aca="false">IF(K59="","",IFERROR(INDEX(Settings!$L$16:$L$22,MATCH(K59,Settings!$K$16:$K$22,0)),""))</f>
        <v/>
      </c>
      <c r="M59" s="35" t="str">
        <f aca="false">IF(OR(J59="",L59=""),"",J59*L59)</f>
        <v/>
      </c>
      <c r="N59" s="65"/>
      <c r="O59" s="51"/>
      <c r="P59" s="65"/>
      <c r="Q59" s="38" t="str">
        <f aca="true">IF(OR(B59="",K59="Won",K59="Lost"),"",IF(P59="","Set a next step",IF(P59&lt;TODAY(),"Overdue","")))</f>
        <v/>
      </c>
    </row>
    <row r="60" customFormat="false" ht="15" hidden="false" customHeight="false" outlineLevel="0" collapsed="false">
      <c r="A60" s="51"/>
      <c r="B60" s="51"/>
      <c r="C60" s="51"/>
      <c r="D60" s="51"/>
      <c r="E60" s="51"/>
      <c r="F60" s="51"/>
      <c r="G60" s="51"/>
      <c r="H60" s="53"/>
      <c r="I60" s="52"/>
      <c r="J60" s="35" t="str">
        <f aca="false">IF(H60="","",H60*MAX(1,N(I60)))</f>
        <v/>
      </c>
      <c r="K60" s="51"/>
      <c r="L60" s="103" t="str">
        <f aca="false">IF(K60="","",IFERROR(INDEX(Settings!$L$16:$L$22,MATCH(K60,Settings!$K$16:$K$22,0)),""))</f>
        <v/>
      </c>
      <c r="M60" s="35" t="str">
        <f aca="false">IF(OR(J60="",L60=""),"",J60*L60)</f>
        <v/>
      </c>
      <c r="N60" s="65"/>
      <c r="O60" s="51"/>
      <c r="P60" s="65"/>
      <c r="Q60" s="38" t="str">
        <f aca="true">IF(OR(B60="",K60="Won",K60="Lost"),"",IF(P60="","Set a next step",IF(P60&lt;TODAY(),"Overdue","")))</f>
        <v/>
      </c>
    </row>
    <row r="61" customFormat="false" ht="15" hidden="false" customHeight="false" outlineLevel="0" collapsed="false">
      <c r="A61" s="51"/>
      <c r="B61" s="51"/>
      <c r="C61" s="51"/>
      <c r="D61" s="51"/>
      <c r="E61" s="51"/>
      <c r="F61" s="51"/>
      <c r="G61" s="51"/>
      <c r="H61" s="53"/>
      <c r="I61" s="52"/>
      <c r="J61" s="35" t="str">
        <f aca="false">IF(H61="","",H61*MAX(1,N(I61)))</f>
        <v/>
      </c>
      <c r="K61" s="51"/>
      <c r="L61" s="103" t="str">
        <f aca="false">IF(K61="","",IFERROR(INDEX(Settings!$L$16:$L$22,MATCH(K61,Settings!$K$16:$K$22,0)),""))</f>
        <v/>
      </c>
      <c r="M61" s="35" t="str">
        <f aca="false">IF(OR(J61="",L61=""),"",J61*L61)</f>
        <v/>
      </c>
      <c r="N61" s="65"/>
      <c r="O61" s="51"/>
      <c r="P61" s="65"/>
      <c r="Q61" s="38" t="str">
        <f aca="true">IF(OR(B61="",K61="Won",K61="Lost"),"",IF(P61="","Set a next step",IF(P61&lt;TODAY(),"Overdue","")))</f>
        <v/>
      </c>
    </row>
    <row r="62" customFormat="false" ht="15" hidden="false" customHeight="false" outlineLevel="0" collapsed="false">
      <c r="A62" s="51"/>
      <c r="B62" s="51"/>
      <c r="C62" s="51"/>
      <c r="D62" s="51"/>
      <c r="E62" s="51"/>
      <c r="F62" s="51"/>
      <c r="G62" s="51"/>
      <c r="H62" s="53"/>
      <c r="I62" s="52"/>
      <c r="J62" s="35" t="str">
        <f aca="false">IF(H62="","",H62*MAX(1,N(I62)))</f>
        <v/>
      </c>
      <c r="K62" s="51"/>
      <c r="L62" s="103" t="str">
        <f aca="false">IF(K62="","",IFERROR(INDEX(Settings!$L$16:$L$22,MATCH(K62,Settings!$K$16:$K$22,0)),""))</f>
        <v/>
      </c>
      <c r="M62" s="35" t="str">
        <f aca="false">IF(OR(J62="",L62=""),"",J62*L62)</f>
        <v/>
      </c>
      <c r="N62" s="65"/>
      <c r="O62" s="51"/>
      <c r="P62" s="65"/>
      <c r="Q62" s="38" t="str">
        <f aca="true">IF(OR(B62="",K62="Won",K62="Lost"),"",IF(P62="","Set a next step",IF(P62&lt;TODAY(),"Overdue","")))</f>
        <v/>
      </c>
    </row>
    <row r="63" customFormat="false" ht="15" hidden="false" customHeight="false" outlineLevel="0" collapsed="false">
      <c r="A63" s="51"/>
      <c r="B63" s="51"/>
      <c r="C63" s="51"/>
      <c r="D63" s="51"/>
      <c r="E63" s="51"/>
      <c r="F63" s="51"/>
      <c r="G63" s="51"/>
      <c r="H63" s="53"/>
      <c r="I63" s="52"/>
      <c r="J63" s="35" t="str">
        <f aca="false">IF(H63="","",H63*MAX(1,N(I63)))</f>
        <v/>
      </c>
      <c r="K63" s="51"/>
      <c r="L63" s="103" t="str">
        <f aca="false">IF(K63="","",IFERROR(INDEX(Settings!$L$16:$L$22,MATCH(K63,Settings!$K$16:$K$22,0)),""))</f>
        <v/>
      </c>
      <c r="M63" s="35" t="str">
        <f aca="false">IF(OR(J63="",L63=""),"",J63*L63)</f>
        <v/>
      </c>
      <c r="N63" s="65"/>
      <c r="O63" s="51"/>
      <c r="P63" s="65"/>
      <c r="Q63" s="38" t="str">
        <f aca="true">IF(OR(B63="",K63="Won",K63="Lost"),"",IF(P63="","Set a next step",IF(P63&lt;TODAY(),"Overdue","")))</f>
        <v/>
      </c>
    </row>
    <row r="64" customFormat="false" ht="15" hidden="false" customHeight="false" outlineLevel="0" collapsed="false">
      <c r="A64" s="51"/>
      <c r="B64" s="51"/>
      <c r="C64" s="51"/>
      <c r="D64" s="51"/>
      <c r="E64" s="51"/>
      <c r="F64" s="51"/>
      <c r="G64" s="51"/>
      <c r="H64" s="53"/>
      <c r="I64" s="52"/>
      <c r="J64" s="35" t="str">
        <f aca="false">IF(H64="","",H64*MAX(1,N(I64)))</f>
        <v/>
      </c>
      <c r="K64" s="51"/>
      <c r="L64" s="103" t="str">
        <f aca="false">IF(K64="","",IFERROR(INDEX(Settings!$L$16:$L$22,MATCH(K64,Settings!$K$16:$K$22,0)),""))</f>
        <v/>
      </c>
      <c r="M64" s="35" t="str">
        <f aca="false">IF(OR(J64="",L64=""),"",J64*L64)</f>
        <v/>
      </c>
      <c r="N64" s="65"/>
      <c r="O64" s="51"/>
      <c r="P64" s="65"/>
      <c r="Q64" s="38" t="str">
        <f aca="true">IF(OR(B64="",K64="Won",K64="Lost"),"",IF(P64="","Set a next step",IF(P64&lt;TODAY(),"Overdue","")))</f>
        <v/>
      </c>
    </row>
    <row r="65" customFormat="false" ht="15" hidden="false" customHeight="false" outlineLevel="0" collapsed="false">
      <c r="A65" s="51"/>
      <c r="B65" s="51"/>
      <c r="C65" s="51"/>
      <c r="D65" s="51"/>
      <c r="E65" s="51"/>
      <c r="F65" s="51"/>
      <c r="G65" s="51"/>
      <c r="H65" s="53"/>
      <c r="I65" s="52"/>
      <c r="J65" s="35" t="str">
        <f aca="false">IF(H65="","",H65*MAX(1,N(I65)))</f>
        <v/>
      </c>
      <c r="K65" s="51"/>
      <c r="L65" s="103" t="str">
        <f aca="false">IF(K65="","",IFERROR(INDEX(Settings!$L$16:$L$22,MATCH(K65,Settings!$K$16:$K$22,0)),""))</f>
        <v/>
      </c>
      <c r="M65" s="35" t="str">
        <f aca="false">IF(OR(J65="",L65=""),"",J65*L65)</f>
        <v/>
      </c>
      <c r="N65" s="65"/>
      <c r="O65" s="51"/>
      <c r="P65" s="65"/>
      <c r="Q65" s="38" t="str">
        <f aca="true">IF(OR(B65="",K65="Won",K65="Lost"),"",IF(P65="","Set a next step",IF(P65&lt;TODAY(),"Overdue","")))</f>
        <v/>
      </c>
    </row>
    <row r="66" customFormat="false" ht="15" hidden="false" customHeight="false" outlineLevel="0" collapsed="false">
      <c r="A66" s="51"/>
      <c r="B66" s="51"/>
      <c r="C66" s="51"/>
      <c r="D66" s="51"/>
      <c r="E66" s="51"/>
      <c r="F66" s="51"/>
      <c r="G66" s="51"/>
      <c r="H66" s="53"/>
      <c r="I66" s="52"/>
      <c r="J66" s="35" t="str">
        <f aca="false">IF(H66="","",H66*MAX(1,N(I66)))</f>
        <v/>
      </c>
      <c r="K66" s="51"/>
      <c r="L66" s="103" t="str">
        <f aca="false">IF(K66="","",IFERROR(INDEX(Settings!$L$16:$L$22,MATCH(K66,Settings!$K$16:$K$22,0)),""))</f>
        <v/>
      </c>
      <c r="M66" s="35" t="str">
        <f aca="false">IF(OR(J66="",L66=""),"",J66*L66)</f>
        <v/>
      </c>
      <c r="N66" s="65"/>
      <c r="O66" s="51"/>
      <c r="P66" s="65"/>
      <c r="Q66" s="38" t="str">
        <f aca="true">IF(OR(B66="",K66="Won",K66="Lost"),"",IF(P66="","Set a next step",IF(P66&lt;TODAY(),"Overdue","")))</f>
        <v/>
      </c>
    </row>
    <row r="67" customFormat="false" ht="15" hidden="false" customHeight="false" outlineLevel="0" collapsed="false">
      <c r="A67" s="51"/>
      <c r="B67" s="51"/>
      <c r="C67" s="51"/>
      <c r="D67" s="51"/>
      <c r="E67" s="51"/>
      <c r="F67" s="51"/>
      <c r="G67" s="51"/>
      <c r="H67" s="53"/>
      <c r="I67" s="52"/>
      <c r="J67" s="35" t="str">
        <f aca="false">IF(H67="","",H67*MAX(1,N(I67)))</f>
        <v/>
      </c>
      <c r="K67" s="51"/>
      <c r="L67" s="103" t="str">
        <f aca="false">IF(K67="","",IFERROR(INDEX(Settings!$L$16:$L$22,MATCH(K67,Settings!$K$16:$K$22,0)),""))</f>
        <v/>
      </c>
      <c r="M67" s="35" t="str">
        <f aca="false">IF(OR(J67="",L67=""),"",J67*L67)</f>
        <v/>
      </c>
      <c r="N67" s="65"/>
      <c r="O67" s="51"/>
      <c r="P67" s="65"/>
      <c r="Q67" s="38" t="str">
        <f aca="true">IF(OR(B67="",K67="Won",K67="Lost"),"",IF(P67="","Set a next step",IF(P67&lt;TODAY(),"Overdue","")))</f>
        <v/>
      </c>
    </row>
    <row r="68" customFormat="false" ht="15" hidden="false" customHeight="false" outlineLevel="0" collapsed="false">
      <c r="A68" s="51"/>
      <c r="B68" s="51"/>
      <c r="C68" s="51"/>
      <c r="D68" s="51"/>
      <c r="E68" s="51"/>
      <c r="F68" s="51"/>
      <c r="G68" s="51"/>
      <c r="H68" s="53"/>
      <c r="I68" s="52"/>
      <c r="J68" s="35" t="str">
        <f aca="false">IF(H68="","",H68*MAX(1,N(I68)))</f>
        <v/>
      </c>
      <c r="K68" s="51"/>
      <c r="L68" s="103" t="str">
        <f aca="false">IF(K68="","",IFERROR(INDEX(Settings!$L$16:$L$22,MATCH(K68,Settings!$K$16:$K$22,0)),""))</f>
        <v/>
      </c>
      <c r="M68" s="35" t="str">
        <f aca="false">IF(OR(J68="",L68=""),"",J68*L68)</f>
        <v/>
      </c>
      <c r="N68" s="65"/>
      <c r="O68" s="51"/>
      <c r="P68" s="65"/>
      <c r="Q68" s="38" t="str">
        <f aca="true">IF(OR(B68="",K68="Won",K68="Lost"),"",IF(P68="","Set a next step",IF(P68&lt;TODAY(),"Overdue","")))</f>
        <v/>
      </c>
    </row>
    <row r="69" customFormat="false" ht="15" hidden="false" customHeight="false" outlineLevel="0" collapsed="false">
      <c r="A69" s="51"/>
      <c r="B69" s="51"/>
      <c r="C69" s="51"/>
      <c r="D69" s="51"/>
      <c r="E69" s="51"/>
      <c r="F69" s="51"/>
      <c r="G69" s="51"/>
      <c r="H69" s="53"/>
      <c r="I69" s="52"/>
      <c r="J69" s="35" t="str">
        <f aca="false">IF(H69="","",H69*MAX(1,N(I69)))</f>
        <v/>
      </c>
      <c r="K69" s="51"/>
      <c r="L69" s="103" t="str">
        <f aca="false">IF(K69="","",IFERROR(INDEX(Settings!$L$16:$L$22,MATCH(K69,Settings!$K$16:$K$22,0)),""))</f>
        <v/>
      </c>
      <c r="M69" s="35" t="str">
        <f aca="false">IF(OR(J69="",L69=""),"",J69*L69)</f>
        <v/>
      </c>
      <c r="N69" s="65"/>
      <c r="O69" s="51"/>
      <c r="P69" s="65"/>
      <c r="Q69" s="38" t="str">
        <f aca="true">IF(OR(B69="",K69="Won",K69="Lost"),"",IF(P69="","Set a next step",IF(P69&lt;TODAY(),"Overdue","")))</f>
        <v/>
      </c>
    </row>
    <row r="70" customFormat="false" ht="15" hidden="false" customHeight="false" outlineLevel="0" collapsed="false">
      <c r="A70" s="51"/>
      <c r="B70" s="51"/>
      <c r="C70" s="51"/>
      <c r="D70" s="51"/>
      <c r="E70" s="51"/>
      <c r="F70" s="51"/>
      <c r="G70" s="51"/>
      <c r="H70" s="53"/>
      <c r="I70" s="52"/>
      <c r="J70" s="35" t="str">
        <f aca="false">IF(H70="","",H70*MAX(1,N(I70)))</f>
        <v/>
      </c>
      <c r="K70" s="51"/>
      <c r="L70" s="103" t="str">
        <f aca="false">IF(K70="","",IFERROR(INDEX(Settings!$L$16:$L$22,MATCH(K70,Settings!$K$16:$K$22,0)),""))</f>
        <v/>
      </c>
      <c r="M70" s="35" t="str">
        <f aca="false">IF(OR(J70="",L70=""),"",J70*L70)</f>
        <v/>
      </c>
      <c r="N70" s="65"/>
      <c r="O70" s="51"/>
      <c r="P70" s="65"/>
      <c r="Q70" s="38" t="str">
        <f aca="true">IF(OR(B70="",K70="Won",K70="Lost"),"",IF(P70="","Set a next step",IF(P70&lt;TODAY(),"Overdue","")))</f>
        <v/>
      </c>
    </row>
    <row r="71" customFormat="false" ht="15" hidden="false" customHeight="false" outlineLevel="0" collapsed="false">
      <c r="A71" s="51"/>
      <c r="B71" s="51"/>
      <c r="C71" s="51"/>
      <c r="D71" s="51"/>
      <c r="E71" s="51"/>
      <c r="F71" s="51"/>
      <c r="G71" s="51"/>
      <c r="H71" s="53"/>
      <c r="I71" s="52"/>
      <c r="J71" s="35" t="str">
        <f aca="false">IF(H71="","",H71*MAX(1,N(I71)))</f>
        <v/>
      </c>
      <c r="K71" s="51"/>
      <c r="L71" s="103" t="str">
        <f aca="false">IF(K71="","",IFERROR(INDEX(Settings!$L$16:$L$22,MATCH(K71,Settings!$K$16:$K$22,0)),""))</f>
        <v/>
      </c>
      <c r="M71" s="35" t="str">
        <f aca="false">IF(OR(J71="",L71=""),"",J71*L71)</f>
        <v/>
      </c>
      <c r="N71" s="65"/>
      <c r="O71" s="51"/>
      <c r="P71" s="65"/>
      <c r="Q71" s="38" t="str">
        <f aca="true">IF(OR(B71="",K71="Won",K71="Lost"),"",IF(P71="","Set a next step",IF(P71&lt;TODAY(),"Overdue","")))</f>
        <v/>
      </c>
    </row>
    <row r="72" customFormat="false" ht="15" hidden="false" customHeight="false" outlineLevel="0" collapsed="false">
      <c r="A72" s="51"/>
      <c r="B72" s="51"/>
      <c r="C72" s="51"/>
      <c r="D72" s="51"/>
      <c r="E72" s="51"/>
      <c r="F72" s="51"/>
      <c r="G72" s="51"/>
      <c r="H72" s="53"/>
      <c r="I72" s="52"/>
      <c r="J72" s="35" t="str">
        <f aca="false">IF(H72="","",H72*MAX(1,N(I72)))</f>
        <v/>
      </c>
      <c r="K72" s="51"/>
      <c r="L72" s="103" t="str">
        <f aca="false">IF(K72="","",IFERROR(INDEX(Settings!$L$16:$L$22,MATCH(K72,Settings!$K$16:$K$22,0)),""))</f>
        <v/>
      </c>
      <c r="M72" s="35" t="str">
        <f aca="false">IF(OR(J72="",L72=""),"",J72*L72)</f>
        <v/>
      </c>
      <c r="N72" s="65"/>
      <c r="O72" s="51"/>
      <c r="P72" s="65"/>
      <c r="Q72" s="38" t="str">
        <f aca="true">IF(OR(B72="",K72="Won",K72="Lost"),"",IF(P72="","Set a next step",IF(P72&lt;TODAY(),"Overdue","")))</f>
        <v/>
      </c>
    </row>
    <row r="73" customFormat="false" ht="15" hidden="false" customHeight="false" outlineLevel="0" collapsed="false">
      <c r="A73" s="51"/>
      <c r="B73" s="51"/>
      <c r="C73" s="51"/>
      <c r="D73" s="51"/>
      <c r="E73" s="51"/>
      <c r="F73" s="51"/>
      <c r="G73" s="51"/>
      <c r="H73" s="53"/>
      <c r="I73" s="52"/>
      <c r="J73" s="35" t="str">
        <f aca="false">IF(H73="","",H73*MAX(1,N(I73)))</f>
        <v/>
      </c>
      <c r="K73" s="51"/>
      <c r="L73" s="103" t="str">
        <f aca="false">IF(K73="","",IFERROR(INDEX(Settings!$L$16:$L$22,MATCH(K73,Settings!$K$16:$K$22,0)),""))</f>
        <v/>
      </c>
      <c r="M73" s="35" t="str">
        <f aca="false">IF(OR(J73="",L73=""),"",J73*L73)</f>
        <v/>
      </c>
      <c r="N73" s="65"/>
      <c r="O73" s="51"/>
      <c r="P73" s="65"/>
      <c r="Q73" s="38" t="str">
        <f aca="true">IF(OR(B73="",K73="Won",K73="Lost"),"",IF(P73="","Set a next step",IF(P73&lt;TODAY(),"Overdue","")))</f>
        <v/>
      </c>
    </row>
    <row r="74" customFormat="false" ht="15" hidden="false" customHeight="false" outlineLevel="0" collapsed="false">
      <c r="A74" s="51"/>
      <c r="B74" s="51"/>
      <c r="C74" s="51"/>
      <c r="D74" s="51"/>
      <c r="E74" s="51"/>
      <c r="F74" s="51"/>
      <c r="G74" s="51"/>
      <c r="H74" s="53"/>
      <c r="I74" s="52"/>
      <c r="J74" s="35" t="str">
        <f aca="false">IF(H74="","",H74*MAX(1,N(I74)))</f>
        <v/>
      </c>
      <c r="K74" s="51"/>
      <c r="L74" s="103" t="str">
        <f aca="false">IF(K74="","",IFERROR(INDEX(Settings!$L$16:$L$22,MATCH(K74,Settings!$K$16:$K$22,0)),""))</f>
        <v/>
      </c>
      <c r="M74" s="35" t="str">
        <f aca="false">IF(OR(J74="",L74=""),"",J74*L74)</f>
        <v/>
      </c>
      <c r="N74" s="65"/>
      <c r="O74" s="51"/>
      <c r="P74" s="65"/>
      <c r="Q74" s="38" t="str">
        <f aca="true">IF(OR(B74="",K74="Won",K74="Lost"),"",IF(P74="","Set a next step",IF(P74&lt;TODAY(),"Overdue","")))</f>
        <v/>
      </c>
    </row>
    <row r="75" customFormat="false" ht="15" hidden="false" customHeight="false" outlineLevel="0" collapsed="false">
      <c r="A75" s="51"/>
      <c r="B75" s="51"/>
      <c r="C75" s="51"/>
      <c r="D75" s="51"/>
      <c r="E75" s="51"/>
      <c r="F75" s="51"/>
      <c r="G75" s="51"/>
      <c r="H75" s="53"/>
      <c r="I75" s="52"/>
      <c r="J75" s="35" t="str">
        <f aca="false">IF(H75="","",H75*MAX(1,N(I75)))</f>
        <v/>
      </c>
      <c r="K75" s="51"/>
      <c r="L75" s="103" t="str">
        <f aca="false">IF(K75="","",IFERROR(INDEX(Settings!$L$16:$L$22,MATCH(K75,Settings!$K$16:$K$22,0)),""))</f>
        <v/>
      </c>
      <c r="M75" s="35" t="str">
        <f aca="false">IF(OR(J75="",L75=""),"",J75*L75)</f>
        <v/>
      </c>
      <c r="N75" s="65"/>
      <c r="O75" s="51"/>
      <c r="P75" s="65"/>
      <c r="Q75" s="38" t="str">
        <f aca="true">IF(OR(B75="",K75="Won",K75="Lost"),"",IF(P75="","Set a next step",IF(P75&lt;TODAY(),"Overdue","")))</f>
        <v/>
      </c>
    </row>
    <row r="76" customFormat="false" ht="15" hidden="false" customHeight="false" outlineLevel="0" collapsed="false">
      <c r="A76" s="51"/>
      <c r="B76" s="51"/>
      <c r="C76" s="51"/>
      <c r="D76" s="51"/>
      <c r="E76" s="51"/>
      <c r="F76" s="51"/>
      <c r="G76" s="51"/>
      <c r="H76" s="53"/>
      <c r="I76" s="52"/>
      <c r="J76" s="35" t="str">
        <f aca="false">IF(H76="","",H76*MAX(1,N(I76)))</f>
        <v/>
      </c>
      <c r="K76" s="51"/>
      <c r="L76" s="103" t="str">
        <f aca="false">IF(K76="","",IFERROR(INDEX(Settings!$L$16:$L$22,MATCH(K76,Settings!$K$16:$K$22,0)),""))</f>
        <v/>
      </c>
      <c r="M76" s="35" t="str">
        <f aca="false">IF(OR(J76="",L76=""),"",J76*L76)</f>
        <v/>
      </c>
      <c r="N76" s="65"/>
      <c r="O76" s="51"/>
      <c r="P76" s="65"/>
      <c r="Q76" s="38" t="str">
        <f aca="true">IF(OR(B76="",K76="Won",K76="Lost"),"",IF(P76="","Set a next step",IF(P76&lt;TODAY(),"Overdue","")))</f>
        <v/>
      </c>
    </row>
    <row r="77" customFormat="false" ht="15" hidden="false" customHeight="false" outlineLevel="0" collapsed="false">
      <c r="A77" s="51"/>
      <c r="B77" s="51"/>
      <c r="C77" s="51"/>
      <c r="D77" s="51"/>
      <c r="E77" s="51"/>
      <c r="F77" s="51"/>
      <c r="G77" s="51"/>
      <c r="H77" s="53"/>
      <c r="I77" s="52"/>
      <c r="J77" s="35" t="str">
        <f aca="false">IF(H77="","",H77*MAX(1,N(I77)))</f>
        <v/>
      </c>
      <c r="K77" s="51"/>
      <c r="L77" s="103" t="str">
        <f aca="false">IF(K77="","",IFERROR(INDEX(Settings!$L$16:$L$22,MATCH(K77,Settings!$K$16:$K$22,0)),""))</f>
        <v/>
      </c>
      <c r="M77" s="35" t="str">
        <f aca="false">IF(OR(J77="",L77=""),"",J77*L77)</f>
        <v/>
      </c>
      <c r="N77" s="65"/>
      <c r="O77" s="51"/>
      <c r="P77" s="65"/>
      <c r="Q77" s="38" t="str">
        <f aca="true">IF(OR(B77="",K77="Won",K77="Lost"),"",IF(P77="","Set a next step",IF(P77&lt;TODAY(),"Overdue","")))</f>
        <v/>
      </c>
    </row>
    <row r="78" customFormat="false" ht="15" hidden="false" customHeight="false" outlineLevel="0" collapsed="false">
      <c r="A78" s="51"/>
      <c r="B78" s="51"/>
      <c r="C78" s="51"/>
      <c r="D78" s="51"/>
      <c r="E78" s="51"/>
      <c r="F78" s="51"/>
      <c r="G78" s="51"/>
      <c r="H78" s="53"/>
      <c r="I78" s="52"/>
      <c r="J78" s="35" t="str">
        <f aca="false">IF(H78="","",H78*MAX(1,N(I78)))</f>
        <v/>
      </c>
      <c r="K78" s="51"/>
      <c r="L78" s="103" t="str">
        <f aca="false">IF(K78="","",IFERROR(INDEX(Settings!$L$16:$L$22,MATCH(K78,Settings!$K$16:$K$22,0)),""))</f>
        <v/>
      </c>
      <c r="M78" s="35" t="str">
        <f aca="false">IF(OR(J78="",L78=""),"",J78*L78)</f>
        <v/>
      </c>
      <c r="N78" s="65"/>
      <c r="O78" s="51"/>
      <c r="P78" s="65"/>
      <c r="Q78" s="38" t="str">
        <f aca="true">IF(OR(B78="",K78="Won",K78="Lost"),"",IF(P78="","Set a next step",IF(P78&lt;TODAY(),"Overdue","")))</f>
        <v/>
      </c>
    </row>
    <row r="79" customFormat="false" ht="15" hidden="false" customHeight="false" outlineLevel="0" collapsed="false">
      <c r="A79" s="51"/>
      <c r="B79" s="51"/>
      <c r="C79" s="51"/>
      <c r="D79" s="51"/>
      <c r="E79" s="51"/>
      <c r="F79" s="51"/>
      <c r="G79" s="51"/>
      <c r="H79" s="53"/>
      <c r="I79" s="52"/>
      <c r="J79" s="35" t="str">
        <f aca="false">IF(H79="","",H79*MAX(1,N(I79)))</f>
        <v/>
      </c>
      <c r="K79" s="51"/>
      <c r="L79" s="103" t="str">
        <f aca="false">IF(K79="","",IFERROR(INDEX(Settings!$L$16:$L$22,MATCH(K79,Settings!$K$16:$K$22,0)),""))</f>
        <v/>
      </c>
      <c r="M79" s="35" t="str">
        <f aca="false">IF(OR(J79="",L79=""),"",J79*L79)</f>
        <v/>
      </c>
      <c r="N79" s="65"/>
      <c r="O79" s="51"/>
      <c r="P79" s="65"/>
      <c r="Q79" s="38" t="str">
        <f aca="true">IF(OR(B79="",K79="Won",K79="Lost"),"",IF(P79="","Set a next step",IF(P79&lt;TODAY(),"Overdue","")))</f>
        <v/>
      </c>
    </row>
    <row r="80" customFormat="false" ht="15" hidden="false" customHeight="false" outlineLevel="0" collapsed="false">
      <c r="A80" s="51"/>
      <c r="B80" s="51"/>
      <c r="C80" s="51"/>
      <c r="D80" s="51"/>
      <c r="E80" s="51"/>
      <c r="F80" s="51"/>
      <c r="G80" s="51"/>
      <c r="H80" s="53"/>
      <c r="I80" s="52"/>
      <c r="J80" s="35" t="str">
        <f aca="false">IF(H80="","",H80*MAX(1,N(I80)))</f>
        <v/>
      </c>
      <c r="K80" s="51"/>
      <c r="L80" s="103" t="str">
        <f aca="false">IF(K80="","",IFERROR(INDEX(Settings!$L$16:$L$22,MATCH(K80,Settings!$K$16:$K$22,0)),""))</f>
        <v/>
      </c>
      <c r="M80" s="35" t="str">
        <f aca="false">IF(OR(J80="",L80=""),"",J80*L80)</f>
        <v/>
      </c>
      <c r="N80" s="65"/>
      <c r="O80" s="51"/>
      <c r="P80" s="65"/>
      <c r="Q80" s="38" t="str">
        <f aca="true">IF(OR(B80="",K80="Won",K80="Lost"),"",IF(P80="","Set a next step",IF(P80&lt;TODAY(),"Overdue","")))</f>
        <v/>
      </c>
    </row>
    <row r="81" customFormat="false" ht="15" hidden="false" customHeight="false" outlineLevel="0" collapsed="false">
      <c r="A81" s="51"/>
      <c r="B81" s="51"/>
      <c r="C81" s="51"/>
      <c r="D81" s="51"/>
      <c r="E81" s="51"/>
      <c r="F81" s="51"/>
      <c r="G81" s="51"/>
      <c r="H81" s="53"/>
      <c r="I81" s="52"/>
      <c r="J81" s="35" t="str">
        <f aca="false">IF(H81="","",H81*MAX(1,N(I81)))</f>
        <v/>
      </c>
      <c r="K81" s="51"/>
      <c r="L81" s="103" t="str">
        <f aca="false">IF(K81="","",IFERROR(INDEX(Settings!$L$16:$L$22,MATCH(K81,Settings!$K$16:$K$22,0)),""))</f>
        <v/>
      </c>
      <c r="M81" s="35" t="str">
        <f aca="false">IF(OR(J81="",L81=""),"",J81*L81)</f>
        <v/>
      </c>
      <c r="N81" s="65"/>
      <c r="O81" s="51"/>
      <c r="P81" s="65"/>
      <c r="Q81" s="38" t="str">
        <f aca="true">IF(OR(B81="",K81="Won",K81="Lost"),"",IF(P81="","Set a next step",IF(P81&lt;TODAY(),"Overdue","")))</f>
        <v/>
      </c>
    </row>
    <row r="82" customFormat="false" ht="15" hidden="false" customHeight="false" outlineLevel="0" collapsed="false">
      <c r="A82" s="51"/>
      <c r="B82" s="51"/>
      <c r="C82" s="51"/>
      <c r="D82" s="51"/>
      <c r="E82" s="51"/>
      <c r="F82" s="51"/>
      <c r="G82" s="51"/>
      <c r="H82" s="53"/>
      <c r="I82" s="52"/>
      <c r="J82" s="35" t="str">
        <f aca="false">IF(H82="","",H82*MAX(1,N(I82)))</f>
        <v/>
      </c>
      <c r="K82" s="51"/>
      <c r="L82" s="103" t="str">
        <f aca="false">IF(K82="","",IFERROR(INDEX(Settings!$L$16:$L$22,MATCH(K82,Settings!$K$16:$K$22,0)),""))</f>
        <v/>
      </c>
      <c r="M82" s="35" t="str">
        <f aca="false">IF(OR(J82="",L82=""),"",J82*L82)</f>
        <v/>
      </c>
      <c r="N82" s="65"/>
      <c r="O82" s="51"/>
      <c r="P82" s="65"/>
      <c r="Q82" s="38" t="str">
        <f aca="true">IF(OR(B82="",K82="Won",K82="Lost"),"",IF(P82="","Set a next step",IF(P82&lt;TODAY(),"Overdue","")))</f>
        <v/>
      </c>
    </row>
    <row r="83" customFormat="false" ht="15" hidden="false" customHeight="false" outlineLevel="0" collapsed="false">
      <c r="A83" s="51"/>
      <c r="B83" s="51"/>
      <c r="C83" s="51"/>
      <c r="D83" s="51"/>
      <c r="E83" s="51"/>
      <c r="F83" s="51"/>
      <c r="G83" s="51"/>
      <c r="H83" s="53"/>
      <c r="I83" s="52"/>
      <c r="J83" s="35" t="str">
        <f aca="false">IF(H83="","",H83*MAX(1,N(I83)))</f>
        <v/>
      </c>
      <c r="K83" s="51"/>
      <c r="L83" s="103" t="str">
        <f aca="false">IF(K83="","",IFERROR(INDEX(Settings!$L$16:$L$22,MATCH(K83,Settings!$K$16:$K$22,0)),""))</f>
        <v/>
      </c>
      <c r="M83" s="35" t="str">
        <f aca="false">IF(OR(J83="",L83=""),"",J83*L83)</f>
        <v/>
      </c>
      <c r="N83" s="65"/>
      <c r="O83" s="51"/>
      <c r="P83" s="65"/>
      <c r="Q83" s="38" t="str">
        <f aca="true">IF(OR(B83="",K83="Won",K83="Lost"),"",IF(P83="","Set a next step",IF(P83&lt;TODAY(),"Overdue","")))</f>
        <v/>
      </c>
    </row>
    <row r="84" customFormat="false" ht="15" hidden="false" customHeight="false" outlineLevel="0" collapsed="false">
      <c r="A84" s="51"/>
      <c r="B84" s="51"/>
      <c r="C84" s="51"/>
      <c r="D84" s="51"/>
      <c r="E84" s="51"/>
      <c r="F84" s="51"/>
      <c r="G84" s="51"/>
      <c r="H84" s="53"/>
      <c r="I84" s="52"/>
      <c r="J84" s="35" t="str">
        <f aca="false">IF(H84="","",H84*MAX(1,N(I84)))</f>
        <v/>
      </c>
      <c r="K84" s="51"/>
      <c r="L84" s="103" t="str">
        <f aca="false">IF(K84="","",IFERROR(INDEX(Settings!$L$16:$L$22,MATCH(K84,Settings!$K$16:$K$22,0)),""))</f>
        <v/>
      </c>
      <c r="M84" s="35" t="str">
        <f aca="false">IF(OR(J84="",L84=""),"",J84*L84)</f>
        <v/>
      </c>
      <c r="N84" s="65"/>
      <c r="O84" s="51"/>
      <c r="P84" s="65"/>
      <c r="Q84" s="38" t="str">
        <f aca="true">IF(OR(B84="",K84="Won",K84="Lost"),"",IF(P84="","Set a next step",IF(P84&lt;TODAY(),"Overdue","")))</f>
        <v/>
      </c>
    </row>
    <row r="85" customFormat="false" ht="15" hidden="false" customHeight="false" outlineLevel="0" collapsed="false">
      <c r="A85" s="51"/>
      <c r="B85" s="51"/>
      <c r="C85" s="51"/>
      <c r="D85" s="51"/>
      <c r="E85" s="51"/>
      <c r="F85" s="51"/>
      <c r="G85" s="51"/>
      <c r="H85" s="53"/>
      <c r="I85" s="52"/>
      <c r="J85" s="35" t="str">
        <f aca="false">IF(H85="","",H85*MAX(1,N(I85)))</f>
        <v/>
      </c>
      <c r="K85" s="51"/>
      <c r="L85" s="103" t="str">
        <f aca="false">IF(K85="","",IFERROR(INDEX(Settings!$L$16:$L$22,MATCH(K85,Settings!$K$16:$K$22,0)),""))</f>
        <v/>
      </c>
      <c r="M85" s="35" t="str">
        <f aca="false">IF(OR(J85="",L85=""),"",J85*L85)</f>
        <v/>
      </c>
      <c r="N85" s="65"/>
      <c r="O85" s="51"/>
      <c r="P85" s="65"/>
      <c r="Q85" s="38" t="str">
        <f aca="true">IF(OR(B85="",K85="Won",K85="Lost"),"",IF(P85="","Set a next step",IF(P85&lt;TODAY(),"Overdue","")))</f>
        <v/>
      </c>
    </row>
    <row r="86" customFormat="false" ht="15" hidden="false" customHeight="false" outlineLevel="0" collapsed="false">
      <c r="A86" s="51"/>
      <c r="B86" s="51"/>
      <c r="C86" s="51"/>
      <c r="D86" s="51"/>
      <c r="E86" s="51"/>
      <c r="F86" s="51"/>
      <c r="G86" s="51"/>
      <c r="H86" s="53"/>
      <c r="I86" s="52"/>
      <c r="J86" s="35" t="str">
        <f aca="false">IF(H86="","",H86*MAX(1,N(I86)))</f>
        <v/>
      </c>
      <c r="K86" s="51"/>
      <c r="L86" s="103" t="str">
        <f aca="false">IF(K86="","",IFERROR(INDEX(Settings!$L$16:$L$22,MATCH(K86,Settings!$K$16:$K$22,0)),""))</f>
        <v/>
      </c>
      <c r="M86" s="35" t="str">
        <f aca="false">IF(OR(J86="",L86=""),"",J86*L86)</f>
        <v/>
      </c>
      <c r="N86" s="65"/>
      <c r="O86" s="51"/>
      <c r="P86" s="65"/>
      <c r="Q86" s="38" t="str">
        <f aca="true">IF(OR(B86="",K86="Won",K86="Lost"),"",IF(P86="","Set a next step",IF(P86&lt;TODAY(),"Overdue","")))</f>
        <v/>
      </c>
    </row>
    <row r="87" customFormat="false" ht="15" hidden="false" customHeight="false" outlineLevel="0" collapsed="false">
      <c r="A87" s="51"/>
      <c r="B87" s="51"/>
      <c r="C87" s="51"/>
      <c r="D87" s="51"/>
      <c r="E87" s="51"/>
      <c r="F87" s="51"/>
      <c r="G87" s="51"/>
      <c r="H87" s="53"/>
      <c r="I87" s="52"/>
      <c r="J87" s="35" t="str">
        <f aca="false">IF(H87="","",H87*MAX(1,N(I87)))</f>
        <v/>
      </c>
      <c r="K87" s="51"/>
      <c r="L87" s="103" t="str">
        <f aca="false">IF(K87="","",IFERROR(INDEX(Settings!$L$16:$L$22,MATCH(K87,Settings!$K$16:$K$22,0)),""))</f>
        <v/>
      </c>
      <c r="M87" s="35" t="str">
        <f aca="false">IF(OR(J87="",L87=""),"",J87*L87)</f>
        <v/>
      </c>
      <c r="N87" s="65"/>
      <c r="O87" s="51"/>
      <c r="P87" s="65"/>
      <c r="Q87" s="38" t="str">
        <f aca="true">IF(OR(B87="",K87="Won",K87="Lost"),"",IF(P87="","Set a next step",IF(P87&lt;TODAY(),"Overdue","")))</f>
        <v/>
      </c>
    </row>
    <row r="88" customFormat="false" ht="15" hidden="false" customHeight="false" outlineLevel="0" collapsed="false">
      <c r="A88" s="51"/>
      <c r="B88" s="51"/>
      <c r="C88" s="51"/>
      <c r="D88" s="51"/>
      <c r="E88" s="51"/>
      <c r="F88" s="51"/>
      <c r="G88" s="51"/>
      <c r="H88" s="53"/>
      <c r="I88" s="52"/>
      <c r="J88" s="35" t="str">
        <f aca="false">IF(H88="","",H88*MAX(1,N(I88)))</f>
        <v/>
      </c>
      <c r="K88" s="51"/>
      <c r="L88" s="103" t="str">
        <f aca="false">IF(K88="","",IFERROR(INDEX(Settings!$L$16:$L$22,MATCH(K88,Settings!$K$16:$K$22,0)),""))</f>
        <v/>
      </c>
      <c r="M88" s="35" t="str">
        <f aca="false">IF(OR(J88="",L88=""),"",J88*L88)</f>
        <v/>
      </c>
      <c r="N88" s="65"/>
      <c r="O88" s="51"/>
      <c r="P88" s="65"/>
      <c r="Q88" s="38" t="str">
        <f aca="true">IF(OR(B88="",K88="Won",K88="Lost"),"",IF(P88="","Set a next step",IF(P88&lt;TODAY(),"Overdue","")))</f>
        <v/>
      </c>
    </row>
    <row r="89" customFormat="false" ht="15" hidden="false" customHeight="false" outlineLevel="0" collapsed="false">
      <c r="A89" s="51"/>
      <c r="B89" s="51"/>
      <c r="C89" s="51"/>
      <c r="D89" s="51"/>
      <c r="E89" s="51"/>
      <c r="F89" s="51"/>
      <c r="G89" s="51"/>
      <c r="H89" s="53"/>
      <c r="I89" s="52"/>
      <c r="J89" s="35" t="str">
        <f aca="false">IF(H89="","",H89*MAX(1,N(I89)))</f>
        <v/>
      </c>
      <c r="K89" s="51"/>
      <c r="L89" s="103" t="str">
        <f aca="false">IF(K89="","",IFERROR(INDEX(Settings!$L$16:$L$22,MATCH(K89,Settings!$K$16:$K$22,0)),""))</f>
        <v/>
      </c>
      <c r="M89" s="35" t="str">
        <f aca="false">IF(OR(J89="",L89=""),"",J89*L89)</f>
        <v/>
      </c>
      <c r="N89" s="65"/>
      <c r="O89" s="51"/>
      <c r="P89" s="65"/>
      <c r="Q89" s="38" t="str">
        <f aca="true">IF(OR(B89="",K89="Won",K89="Lost"),"",IF(P89="","Set a next step",IF(P89&lt;TODAY(),"Overdue","")))</f>
        <v/>
      </c>
    </row>
    <row r="90" customFormat="false" ht="15" hidden="false" customHeight="false" outlineLevel="0" collapsed="false">
      <c r="A90" s="51"/>
      <c r="B90" s="51"/>
      <c r="C90" s="51"/>
      <c r="D90" s="51"/>
      <c r="E90" s="51"/>
      <c r="F90" s="51"/>
      <c r="G90" s="51"/>
      <c r="H90" s="53"/>
      <c r="I90" s="52"/>
      <c r="J90" s="35" t="str">
        <f aca="false">IF(H90="","",H90*MAX(1,N(I90)))</f>
        <v/>
      </c>
      <c r="K90" s="51"/>
      <c r="L90" s="103" t="str">
        <f aca="false">IF(K90="","",IFERROR(INDEX(Settings!$L$16:$L$22,MATCH(K90,Settings!$K$16:$K$22,0)),""))</f>
        <v/>
      </c>
      <c r="M90" s="35" t="str">
        <f aca="false">IF(OR(J90="",L90=""),"",J90*L90)</f>
        <v/>
      </c>
      <c r="N90" s="65"/>
      <c r="O90" s="51"/>
      <c r="P90" s="65"/>
      <c r="Q90" s="38" t="str">
        <f aca="true">IF(OR(B90="",K90="Won",K90="Lost"),"",IF(P90="","Set a next step",IF(P90&lt;TODAY(),"Overdue","")))</f>
        <v/>
      </c>
    </row>
    <row r="91" customFormat="false" ht="15" hidden="false" customHeight="false" outlineLevel="0" collapsed="false">
      <c r="A91" s="51"/>
      <c r="B91" s="51"/>
      <c r="C91" s="51"/>
      <c r="D91" s="51"/>
      <c r="E91" s="51"/>
      <c r="F91" s="51"/>
      <c r="G91" s="51"/>
      <c r="H91" s="53"/>
      <c r="I91" s="52"/>
      <c r="J91" s="35" t="str">
        <f aca="false">IF(H91="","",H91*MAX(1,N(I91)))</f>
        <v/>
      </c>
      <c r="K91" s="51"/>
      <c r="L91" s="103" t="str">
        <f aca="false">IF(K91="","",IFERROR(INDEX(Settings!$L$16:$L$22,MATCH(K91,Settings!$K$16:$K$22,0)),""))</f>
        <v/>
      </c>
      <c r="M91" s="35" t="str">
        <f aca="false">IF(OR(J91="",L91=""),"",J91*L91)</f>
        <v/>
      </c>
      <c r="N91" s="65"/>
      <c r="O91" s="51"/>
      <c r="P91" s="65"/>
      <c r="Q91" s="38" t="str">
        <f aca="true">IF(OR(B91="",K91="Won",K91="Lost"),"",IF(P91="","Set a next step",IF(P91&lt;TODAY(),"Overdue","")))</f>
        <v/>
      </c>
    </row>
    <row r="92" customFormat="false" ht="15" hidden="false" customHeight="false" outlineLevel="0" collapsed="false">
      <c r="A92" s="51"/>
      <c r="B92" s="51"/>
      <c r="C92" s="51"/>
      <c r="D92" s="51"/>
      <c r="E92" s="51"/>
      <c r="F92" s="51"/>
      <c r="G92" s="51"/>
      <c r="H92" s="53"/>
      <c r="I92" s="52"/>
      <c r="J92" s="35" t="str">
        <f aca="false">IF(H92="","",H92*MAX(1,N(I92)))</f>
        <v/>
      </c>
      <c r="K92" s="51"/>
      <c r="L92" s="103" t="str">
        <f aca="false">IF(K92="","",IFERROR(INDEX(Settings!$L$16:$L$22,MATCH(K92,Settings!$K$16:$K$22,0)),""))</f>
        <v/>
      </c>
      <c r="M92" s="35" t="str">
        <f aca="false">IF(OR(J92="",L92=""),"",J92*L92)</f>
        <v/>
      </c>
      <c r="N92" s="65"/>
      <c r="O92" s="51"/>
      <c r="P92" s="65"/>
      <c r="Q92" s="38" t="str">
        <f aca="true">IF(OR(B92="",K92="Won",K92="Lost"),"",IF(P92="","Set a next step",IF(P92&lt;TODAY(),"Overdue","")))</f>
        <v/>
      </c>
    </row>
    <row r="93" customFormat="false" ht="15" hidden="false" customHeight="false" outlineLevel="0" collapsed="false">
      <c r="A93" s="51"/>
      <c r="B93" s="51"/>
      <c r="C93" s="51"/>
      <c r="D93" s="51"/>
      <c r="E93" s="51"/>
      <c r="F93" s="51"/>
      <c r="G93" s="51"/>
      <c r="H93" s="53"/>
      <c r="I93" s="52"/>
      <c r="J93" s="35" t="str">
        <f aca="false">IF(H93="","",H93*MAX(1,N(I93)))</f>
        <v/>
      </c>
      <c r="K93" s="51"/>
      <c r="L93" s="103" t="str">
        <f aca="false">IF(K93="","",IFERROR(INDEX(Settings!$L$16:$L$22,MATCH(K93,Settings!$K$16:$K$22,0)),""))</f>
        <v/>
      </c>
      <c r="M93" s="35" t="str">
        <f aca="false">IF(OR(J93="",L93=""),"",J93*L93)</f>
        <v/>
      </c>
      <c r="N93" s="65"/>
      <c r="O93" s="51"/>
      <c r="P93" s="65"/>
      <c r="Q93" s="38" t="str">
        <f aca="true">IF(OR(B93="",K93="Won",K93="Lost"),"",IF(P93="","Set a next step",IF(P93&lt;TODAY(),"Overdue","")))</f>
        <v/>
      </c>
    </row>
    <row r="94" customFormat="false" ht="15" hidden="false" customHeight="false" outlineLevel="0" collapsed="false">
      <c r="A94" s="51"/>
      <c r="B94" s="51"/>
      <c r="C94" s="51"/>
      <c r="D94" s="51"/>
      <c r="E94" s="51"/>
      <c r="F94" s="51"/>
      <c r="G94" s="51"/>
      <c r="H94" s="53"/>
      <c r="I94" s="52"/>
      <c r="J94" s="35" t="str">
        <f aca="false">IF(H94="","",H94*MAX(1,N(I94)))</f>
        <v/>
      </c>
      <c r="K94" s="51"/>
      <c r="L94" s="103" t="str">
        <f aca="false">IF(K94="","",IFERROR(INDEX(Settings!$L$16:$L$22,MATCH(K94,Settings!$K$16:$K$22,0)),""))</f>
        <v/>
      </c>
      <c r="M94" s="35" t="str">
        <f aca="false">IF(OR(J94="",L94=""),"",J94*L94)</f>
        <v/>
      </c>
      <c r="N94" s="65"/>
      <c r="O94" s="51"/>
      <c r="P94" s="65"/>
      <c r="Q94" s="38" t="str">
        <f aca="true">IF(OR(B94="",K94="Won",K94="Lost"),"",IF(P94="","Set a next step",IF(P94&lt;TODAY(),"Overdue","")))</f>
        <v/>
      </c>
    </row>
    <row r="95" customFormat="false" ht="15" hidden="false" customHeight="false" outlineLevel="0" collapsed="false">
      <c r="A95" s="51"/>
      <c r="B95" s="51"/>
      <c r="C95" s="51"/>
      <c r="D95" s="51"/>
      <c r="E95" s="51"/>
      <c r="F95" s="51"/>
      <c r="G95" s="51"/>
      <c r="H95" s="53"/>
      <c r="I95" s="52"/>
      <c r="J95" s="35" t="str">
        <f aca="false">IF(H95="","",H95*MAX(1,N(I95)))</f>
        <v/>
      </c>
      <c r="K95" s="51"/>
      <c r="L95" s="103" t="str">
        <f aca="false">IF(K95="","",IFERROR(INDEX(Settings!$L$16:$L$22,MATCH(K95,Settings!$K$16:$K$22,0)),""))</f>
        <v/>
      </c>
      <c r="M95" s="35" t="str">
        <f aca="false">IF(OR(J95="",L95=""),"",J95*L95)</f>
        <v/>
      </c>
      <c r="N95" s="65"/>
      <c r="O95" s="51"/>
      <c r="P95" s="65"/>
      <c r="Q95" s="38" t="str">
        <f aca="true">IF(OR(B95="",K95="Won",K95="Lost"),"",IF(P95="","Set a next step",IF(P95&lt;TODAY(),"Overdue","")))</f>
        <v/>
      </c>
    </row>
    <row r="96" customFormat="false" ht="15" hidden="false" customHeight="false" outlineLevel="0" collapsed="false">
      <c r="A96" s="51"/>
      <c r="B96" s="51"/>
      <c r="C96" s="51"/>
      <c r="D96" s="51"/>
      <c r="E96" s="51"/>
      <c r="F96" s="51"/>
      <c r="G96" s="51"/>
      <c r="H96" s="53"/>
      <c r="I96" s="52"/>
      <c r="J96" s="35" t="str">
        <f aca="false">IF(H96="","",H96*MAX(1,N(I96)))</f>
        <v/>
      </c>
      <c r="K96" s="51"/>
      <c r="L96" s="103" t="str">
        <f aca="false">IF(K96="","",IFERROR(INDEX(Settings!$L$16:$L$22,MATCH(K96,Settings!$K$16:$K$22,0)),""))</f>
        <v/>
      </c>
      <c r="M96" s="35" t="str">
        <f aca="false">IF(OR(J96="",L96=""),"",J96*L96)</f>
        <v/>
      </c>
      <c r="N96" s="65"/>
      <c r="O96" s="51"/>
      <c r="P96" s="65"/>
      <c r="Q96" s="38" t="str">
        <f aca="true">IF(OR(B96="",K96="Won",K96="Lost"),"",IF(P96="","Set a next step",IF(P96&lt;TODAY(),"Overdue","")))</f>
        <v/>
      </c>
    </row>
    <row r="97" customFormat="false" ht="15" hidden="false" customHeight="false" outlineLevel="0" collapsed="false">
      <c r="A97" s="51"/>
      <c r="B97" s="51"/>
      <c r="C97" s="51"/>
      <c r="D97" s="51"/>
      <c r="E97" s="51"/>
      <c r="F97" s="51"/>
      <c r="G97" s="51"/>
      <c r="H97" s="53"/>
      <c r="I97" s="52"/>
      <c r="J97" s="35" t="str">
        <f aca="false">IF(H97="","",H97*MAX(1,N(I97)))</f>
        <v/>
      </c>
      <c r="K97" s="51"/>
      <c r="L97" s="103" t="str">
        <f aca="false">IF(K97="","",IFERROR(INDEX(Settings!$L$16:$L$22,MATCH(K97,Settings!$K$16:$K$22,0)),""))</f>
        <v/>
      </c>
      <c r="M97" s="35" t="str">
        <f aca="false">IF(OR(J97="",L97=""),"",J97*L97)</f>
        <v/>
      </c>
      <c r="N97" s="65"/>
      <c r="O97" s="51"/>
      <c r="P97" s="65"/>
      <c r="Q97" s="38" t="str">
        <f aca="true">IF(OR(B97="",K97="Won",K97="Lost"),"",IF(P97="","Set a next step",IF(P97&lt;TODAY(),"Overdue","")))</f>
        <v/>
      </c>
    </row>
    <row r="98" customFormat="false" ht="15" hidden="false" customHeight="false" outlineLevel="0" collapsed="false">
      <c r="A98" s="51"/>
      <c r="B98" s="51"/>
      <c r="C98" s="51"/>
      <c r="D98" s="51"/>
      <c r="E98" s="51"/>
      <c r="F98" s="51"/>
      <c r="G98" s="51"/>
      <c r="H98" s="53"/>
      <c r="I98" s="52"/>
      <c r="J98" s="35" t="str">
        <f aca="false">IF(H98="","",H98*MAX(1,N(I98)))</f>
        <v/>
      </c>
      <c r="K98" s="51"/>
      <c r="L98" s="103" t="str">
        <f aca="false">IF(K98="","",IFERROR(INDEX(Settings!$L$16:$L$22,MATCH(K98,Settings!$K$16:$K$22,0)),""))</f>
        <v/>
      </c>
      <c r="M98" s="35" t="str">
        <f aca="false">IF(OR(J98="",L98=""),"",J98*L98)</f>
        <v/>
      </c>
      <c r="N98" s="65"/>
      <c r="O98" s="51"/>
      <c r="P98" s="65"/>
      <c r="Q98" s="38" t="str">
        <f aca="true">IF(OR(B98="",K98="Won",K98="Lost"),"",IF(P98="","Set a next step",IF(P98&lt;TODAY(),"Overdue","")))</f>
        <v/>
      </c>
    </row>
    <row r="99" customFormat="false" ht="15" hidden="false" customHeight="false" outlineLevel="0" collapsed="false">
      <c r="A99" s="51"/>
      <c r="B99" s="51"/>
      <c r="C99" s="51"/>
      <c r="D99" s="51"/>
      <c r="E99" s="51"/>
      <c r="F99" s="51"/>
      <c r="G99" s="51"/>
      <c r="H99" s="53"/>
      <c r="I99" s="52"/>
      <c r="J99" s="35" t="str">
        <f aca="false">IF(H99="","",H99*MAX(1,N(I99)))</f>
        <v/>
      </c>
      <c r="K99" s="51"/>
      <c r="L99" s="103" t="str">
        <f aca="false">IF(K99="","",IFERROR(INDEX(Settings!$L$16:$L$22,MATCH(K99,Settings!$K$16:$K$22,0)),""))</f>
        <v/>
      </c>
      <c r="M99" s="35" t="str">
        <f aca="false">IF(OR(J99="",L99=""),"",J99*L99)</f>
        <v/>
      </c>
      <c r="N99" s="65"/>
      <c r="O99" s="51"/>
      <c r="P99" s="65"/>
      <c r="Q99" s="38" t="str">
        <f aca="true">IF(OR(B99="",K99="Won",K99="Lost"),"",IF(P99="","Set a next step",IF(P99&lt;TODAY(),"Overdue","")))</f>
        <v/>
      </c>
    </row>
    <row r="100" customFormat="false" ht="15" hidden="false" customHeight="false" outlineLevel="0" collapsed="false">
      <c r="A100" s="51"/>
      <c r="B100" s="51"/>
      <c r="C100" s="51"/>
      <c r="D100" s="51"/>
      <c r="E100" s="51"/>
      <c r="F100" s="51"/>
      <c r="G100" s="51"/>
      <c r="H100" s="53"/>
      <c r="I100" s="52"/>
      <c r="J100" s="35" t="str">
        <f aca="false">IF(H100="","",H100*MAX(1,N(I100)))</f>
        <v/>
      </c>
      <c r="K100" s="51"/>
      <c r="L100" s="103" t="str">
        <f aca="false">IF(K100="","",IFERROR(INDEX(Settings!$L$16:$L$22,MATCH(K100,Settings!$K$16:$K$22,0)),""))</f>
        <v/>
      </c>
      <c r="M100" s="35" t="str">
        <f aca="false">IF(OR(J100="",L100=""),"",J100*L100)</f>
        <v/>
      </c>
      <c r="N100" s="65"/>
      <c r="O100" s="51"/>
      <c r="P100" s="65"/>
      <c r="Q100" s="38" t="str">
        <f aca="true">IF(OR(B100="",K100="Won",K100="Lost"),"",IF(P100="","Set a next step",IF(P100&lt;TODAY(),"Overdue","")))</f>
        <v/>
      </c>
    </row>
    <row r="101" customFormat="false" ht="15" hidden="false" customHeight="false" outlineLevel="0" collapsed="false">
      <c r="A101" s="51"/>
      <c r="B101" s="51"/>
      <c r="C101" s="51"/>
      <c r="D101" s="51"/>
      <c r="E101" s="51"/>
      <c r="F101" s="51"/>
      <c r="G101" s="51"/>
      <c r="H101" s="53"/>
      <c r="I101" s="52"/>
      <c r="J101" s="35" t="str">
        <f aca="false">IF(H101="","",H101*MAX(1,N(I101)))</f>
        <v/>
      </c>
      <c r="K101" s="51"/>
      <c r="L101" s="103" t="str">
        <f aca="false">IF(K101="","",IFERROR(INDEX(Settings!$L$16:$L$22,MATCH(K101,Settings!$K$16:$K$22,0)),""))</f>
        <v/>
      </c>
      <c r="M101" s="35" t="str">
        <f aca="false">IF(OR(J101="",L101=""),"",J101*L101)</f>
        <v/>
      </c>
      <c r="N101" s="65"/>
      <c r="O101" s="51"/>
      <c r="P101" s="65"/>
      <c r="Q101" s="38" t="str">
        <f aca="true">IF(OR(B101="",K101="Won",K101="Lost"),"",IF(P101="","Set a next step",IF(P101&lt;TODAY(),"Overdue","")))</f>
        <v/>
      </c>
    </row>
    <row r="102" customFormat="false" ht="15" hidden="false" customHeight="false" outlineLevel="0" collapsed="false">
      <c r="A102" s="51"/>
      <c r="B102" s="51"/>
      <c r="C102" s="51"/>
      <c r="D102" s="51"/>
      <c r="E102" s="51"/>
      <c r="F102" s="51"/>
      <c r="G102" s="51"/>
      <c r="H102" s="53"/>
      <c r="I102" s="52"/>
      <c r="J102" s="35" t="str">
        <f aca="false">IF(H102="","",H102*MAX(1,N(I102)))</f>
        <v/>
      </c>
      <c r="K102" s="51"/>
      <c r="L102" s="103" t="str">
        <f aca="false">IF(K102="","",IFERROR(INDEX(Settings!$L$16:$L$22,MATCH(K102,Settings!$K$16:$K$22,0)),""))</f>
        <v/>
      </c>
      <c r="M102" s="35" t="str">
        <f aca="false">IF(OR(J102="",L102=""),"",J102*L102)</f>
        <v/>
      </c>
      <c r="N102" s="65"/>
      <c r="O102" s="51"/>
      <c r="P102" s="65"/>
      <c r="Q102" s="38" t="str">
        <f aca="true">IF(OR(B102="",K102="Won",K102="Lost"),"",IF(P102="","Set a next step",IF(P102&lt;TODAY(),"Overdue","")))</f>
        <v/>
      </c>
    </row>
    <row r="103" customFormat="false" ht="15" hidden="false" customHeight="false" outlineLevel="0" collapsed="false">
      <c r="A103" s="51"/>
      <c r="B103" s="51"/>
      <c r="C103" s="51"/>
      <c r="D103" s="51"/>
      <c r="E103" s="51"/>
      <c r="F103" s="51"/>
      <c r="G103" s="51"/>
      <c r="H103" s="53"/>
      <c r="I103" s="52"/>
      <c r="J103" s="35" t="str">
        <f aca="false">IF(H103="","",H103*MAX(1,N(I103)))</f>
        <v/>
      </c>
      <c r="K103" s="51"/>
      <c r="L103" s="103" t="str">
        <f aca="false">IF(K103="","",IFERROR(INDEX(Settings!$L$16:$L$22,MATCH(K103,Settings!$K$16:$K$22,0)),""))</f>
        <v/>
      </c>
      <c r="M103" s="35" t="str">
        <f aca="false">IF(OR(J103="",L103=""),"",J103*L103)</f>
        <v/>
      </c>
      <c r="N103" s="65"/>
      <c r="O103" s="51"/>
      <c r="P103" s="65"/>
      <c r="Q103" s="38" t="str">
        <f aca="true">IF(OR(B103="",K103="Won",K103="Lost"),"",IF(P103="","Set a next step",IF(P103&lt;TODAY(),"Overdue","")))</f>
        <v/>
      </c>
    </row>
    <row r="104" customFormat="false" ht="15" hidden="false" customHeight="false" outlineLevel="0" collapsed="false">
      <c r="A104" s="51"/>
      <c r="B104" s="51"/>
      <c r="C104" s="51"/>
      <c r="D104" s="51"/>
      <c r="E104" s="51"/>
      <c r="F104" s="51"/>
      <c r="G104" s="51"/>
      <c r="H104" s="53"/>
      <c r="I104" s="52"/>
      <c r="J104" s="35" t="str">
        <f aca="false">IF(H104="","",H104*MAX(1,N(I104)))</f>
        <v/>
      </c>
      <c r="K104" s="51"/>
      <c r="L104" s="103" t="str">
        <f aca="false">IF(K104="","",IFERROR(INDEX(Settings!$L$16:$L$22,MATCH(K104,Settings!$K$16:$K$22,0)),""))</f>
        <v/>
      </c>
      <c r="M104" s="35" t="str">
        <f aca="false">IF(OR(J104="",L104=""),"",J104*L104)</f>
        <v/>
      </c>
      <c r="N104" s="65"/>
      <c r="O104" s="51"/>
      <c r="P104" s="65"/>
      <c r="Q104" s="38" t="str">
        <f aca="true">IF(OR(B104="",K104="Won",K104="Lost"),"",IF(P104="","Set a next step",IF(P104&lt;TODAY(),"Overdue","")))</f>
        <v/>
      </c>
    </row>
    <row r="105" customFormat="false" ht="15" hidden="false" customHeight="false" outlineLevel="0" collapsed="false">
      <c r="A105" s="51"/>
      <c r="B105" s="51"/>
      <c r="C105" s="51"/>
      <c r="D105" s="51"/>
      <c r="E105" s="51"/>
      <c r="F105" s="51"/>
      <c r="G105" s="51"/>
      <c r="H105" s="53"/>
      <c r="I105" s="52"/>
      <c r="J105" s="35" t="str">
        <f aca="false">IF(H105="","",H105*MAX(1,N(I105)))</f>
        <v/>
      </c>
      <c r="K105" s="51"/>
      <c r="L105" s="103" t="str">
        <f aca="false">IF(K105="","",IFERROR(INDEX(Settings!$L$16:$L$22,MATCH(K105,Settings!$K$16:$K$22,0)),""))</f>
        <v/>
      </c>
      <c r="M105" s="35" t="str">
        <f aca="false">IF(OR(J105="",L105=""),"",J105*L105)</f>
        <v/>
      </c>
      <c r="N105" s="65"/>
      <c r="O105" s="51"/>
      <c r="P105" s="65"/>
      <c r="Q105" s="38" t="str">
        <f aca="true">IF(OR(B105="",K105="Won",K105="Lost"),"",IF(P105="","Set a next step",IF(P105&lt;TODAY(),"Overdue","")))</f>
        <v/>
      </c>
    </row>
  </sheetData>
  <conditionalFormatting sqref="Q6:Q105">
    <cfRule type="expression" priority="2" aboveAverage="0" equalAverage="0" bottom="0" percent="0" rank="0" text="" dxfId="0">
      <formula>Q6="Overdue"</formula>
    </cfRule>
    <cfRule type="expression" priority="3" aboveAverage="0" equalAverage="0" bottom="0" percent="0" rank="0" text="" dxfId="2">
      <formula>Q6="Set a next step"</formula>
    </cfRule>
  </conditionalFormatting>
  <conditionalFormatting sqref="K6:K105">
    <cfRule type="expression" priority="4" aboveAverage="0" equalAverage="0" bottom="0" percent="0" rank="0" text="" dxfId="1">
      <formula>K6="Won"</formula>
    </cfRule>
    <cfRule type="expression" priority="5" aboveAverage="0" equalAverage="0" bottom="0" percent="0" rank="0" text="" dxfId="4">
      <formula>K6="Lost"</formula>
    </cfRule>
  </conditionalFormatting>
  <dataValidations count="2">
    <dataValidation allowBlank="true" errorStyle="stop" operator="between" showDropDown="false" showErrorMessage="false" showInputMessage="false" sqref="F6:F105" type="list">
      <formula1>Settings!$J$16:$J$25</formula1>
      <formula2>0</formula2>
    </dataValidation>
    <dataValidation allowBlank="true" errorStyle="stop" operator="between" showDropDown="false" showErrorMessage="false" showInputMessage="false" sqref="K6:K105" type="list">
      <formula1>Settings!$K$16:$K$22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E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34"/>
    <col collapsed="false" customWidth="true" hidden="false" outlineLevel="0" max="4" min="4" style="0" width="62"/>
    <col collapsed="false" customWidth="true" hidden="false" outlineLevel="0" max="5" min="5" style="0" width="52"/>
  </cols>
  <sheetData>
    <row r="1" customFormat="false" ht="22.05" hidden="false" customHeight="false" outlineLevel="0" collapsed="false">
      <c r="B1" s="48" t="s">
        <v>622</v>
      </c>
    </row>
    <row r="2" customFormat="false" ht="15" hidden="false" customHeight="false" outlineLevel="0" collapsed="false">
      <c r="B2" s="49" t="s">
        <v>623</v>
      </c>
    </row>
    <row r="4" customFormat="false" ht="19.5" hidden="false" customHeight="true" outlineLevel="0" collapsed="false">
      <c r="B4" s="28" t="s">
        <v>624</v>
      </c>
      <c r="C4" s="6"/>
      <c r="D4" s="6"/>
      <c r="E4" s="6"/>
    </row>
    <row r="5" customFormat="false" ht="31.5" hidden="false" customHeight="true" outlineLevel="0" collapsed="false">
      <c r="B5" s="104" t="s">
        <v>17</v>
      </c>
      <c r="C5" s="105" t="s">
        <v>625</v>
      </c>
      <c r="D5" s="106" t="s">
        <v>626</v>
      </c>
      <c r="E5" s="106"/>
    </row>
    <row r="6" customFormat="false" ht="31.5" hidden="false" customHeight="true" outlineLevel="0" collapsed="false">
      <c r="B6" s="104" t="s">
        <v>17</v>
      </c>
      <c r="C6" s="105" t="s">
        <v>627</v>
      </c>
      <c r="D6" s="106" t="s">
        <v>628</v>
      </c>
      <c r="E6" s="106"/>
    </row>
    <row r="7" customFormat="false" ht="31.5" hidden="false" customHeight="true" outlineLevel="0" collapsed="false">
      <c r="B7" s="104" t="s">
        <v>17</v>
      </c>
      <c r="C7" s="105" t="s">
        <v>629</v>
      </c>
      <c r="D7" s="106" t="s">
        <v>630</v>
      </c>
      <c r="E7" s="106"/>
    </row>
    <row r="8" customFormat="false" ht="31.5" hidden="false" customHeight="true" outlineLevel="0" collapsed="false">
      <c r="B8" s="104" t="s">
        <v>17</v>
      </c>
      <c r="C8" s="105" t="s">
        <v>631</v>
      </c>
      <c r="D8" s="106" t="s">
        <v>632</v>
      </c>
      <c r="E8" s="106"/>
    </row>
    <row r="9" customFormat="false" ht="31.5" hidden="false" customHeight="true" outlineLevel="0" collapsed="false">
      <c r="B9" s="104" t="s">
        <v>17</v>
      </c>
      <c r="C9" s="105" t="s">
        <v>633</v>
      </c>
      <c r="D9" s="106" t="s">
        <v>634</v>
      </c>
      <c r="E9" s="106"/>
    </row>
    <row r="10" customFormat="false" ht="31.5" hidden="false" customHeight="true" outlineLevel="0" collapsed="false">
      <c r="B10" s="104" t="s">
        <v>17</v>
      </c>
      <c r="C10" s="105" t="s">
        <v>635</v>
      </c>
      <c r="D10" s="106" t="s">
        <v>636</v>
      </c>
      <c r="E10" s="106"/>
    </row>
    <row r="11" customFormat="false" ht="31.5" hidden="false" customHeight="true" outlineLevel="0" collapsed="false">
      <c r="B11" s="104" t="s">
        <v>17</v>
      </c>
      <c r="C11" s="105" t="s">
        <v>637</v>
      </c>
      <c r="D11" s="106" t="s">
        <v>638</v>
      </c>
      <c r="E11" s="106"/>
    </row>
    <row r="12" customFormat="false" ht="31.5" hidden="false" customHeight="true" outlineLevel="0" collapsed="false">
      <c r="B12" s="104" t="s">
        <v>17</v>
      </c>
      <c r="C12" s="105" t="s">
        <v>639</v>
      </c>
      <c r="D12" s="106" t="s">
        <v>640</v>
      </c>
      <c r="E12" s="106"/>
    </row>
    <row r="13" customFormat="false" ht="31.5" hidden="false" customHeight="true" outlineLevel="0" collapsed="false">
      <c r="B13" s="104" t="s">
        <v>17</v>
      </c>
      <c r="C13" s="105" t="s">
        <v>641</v>
      </c>
      <c r="D13" s="106" t="s">
        <v>642</v>
      </c>
      <c r="E13" s="106"/>
    </row>
    <row r="14" customFormat="false" ht="31.5" hidden="false" customHeight="true" outlineLevel="0" collapsed="false">
      <c r="B14" s="104" t="s">
        <v>17</v>
      </c>
      <c r="C14" s="105" t="s">
        <v>643</v>
      </c>
      <c r="D14" s="106" t="s">
        <v>644</v>
      </c>
      <c r="E14" s="106"/>
    </row>
    <row r="15" customFormat="false" ht="31.5" hidden="false" customHeight="true" outlineLevel="0" collapsed="false">
      <c r="B15" s="104" t="s">
        <v>17</v>
      </c>
      <c r="C15" s="105" t="s">
        <v>645</v>
      </c>
      <c r="D15" s="106" t="s">
        <v>646</v>
      </c>
      <c r="E15" s="106"/>
    </row>
    <row r="16" customFormat="false" ht="45.75" hidden="false" customHeight="true" outlineLevel="0" collapsed="false">
      <c r="B16" s="104" t="s">
        <v>17</v>
      </c>
      <c r="C16" s="105" t="s">
        <v>647</v>
      </c>
      <c r="D16" s="106" t="s">
        <v>648</v>
      </c>
      <c r="E16" s="106"/>
    </row>
    <row r="18" customFormat="false" ht="19.5" hidden="false" customHeight="true" outlineLevel="0" collapsed="false">
      <c r="B18" s="28" t="s">
        <v>649</v>
      </c>
      <c r="C18" s="6"/>
      <c r="D18" s="6"/>
      <c r="E18" s="6"/>
    </row>
    <row r="19" customFormat="false" ht="31.5" hidden="false" customHeight="true" outlineLevel="0" collapsed="false">
      <c r="B19" s="104" t="s">
        <v>17</v>
      </c>
      <c r="C19" s="105" t="s">
        <v>650</v>
      </c>
      <c r="D19" s="106" t="s">
        <v>651</v>
      </c>
      <c r="E19" s="106"/>
    </row>
    <row r="20" customFormat="false" ht="18" hidden="false" customHeight="true" outlineLevel="0" collapsed="false">
      <c r="B20" s="104" t="s">
        <v>17</v>
      </c>
      <c r="C20" s="105" t="s">
        <v>652</v>
      </c>
      <c r="D20" s="106" t="s">
        <v>653</v>
      </c>
      <c r="E20" s="106"/>
    </row>
    <row r="21" customFormat="false" ht="31.5" hidden="false" customHeight="true" outlineLevel="0" collapsed="false">
      <c r="B21" s="104" t="s">
        <v>17</v>
      </c>
      <c r="C21" s="105" t="s">
        <v>654</v>
      </c>
      <c r="D21" s="106" t="s">
        <v>655</v>
      </c>
      <c r="E21" s="106"/>
    </row>
    <row r="22" customFormat="false" ht="18" hidden="false" customHeight="true" outlineLevel="0" collapsed="false">
      <c r="B22" s="104" t="s">
        <v>17</v>
      </c>
      <c r="C22" s="105" t="s">
        <v>656</v>
      </c>
      <c r="D22" s="106" t="s">
        <v>657</v>
      </c>
      <c r="E22" s="106"/>
    </row>
    <row r="23" customFormat="false" ht="31.5" hidden="false" customHeight="true" outlineLevel="0" collapsed="false">
      <c r="B23" s="104" t="s">
        <v>17</v>
      </c>
      <c r="C23" s="105" t="s">
        <v>658</v>
      </c>
      <c r="D23" s="106" t="s">
        <v>659</v>
      </c>
      <c r="E23" s="106"/>
    </row>
    <row r="24" customFormat="false" ht="31.5" hidden="false" customHeight="true" outlineLevel="0" collapsed="false">
      <c r="B24" s="104" t="s">
        <v>17</v>
      </c>
      <c r="C24" s="105" t="s">
        <v>660</v>
      </c>
      <c r="D24" s="106" t="s">
        <v>661</v>
      </c>
      <c r="E24" s="106"/>
    </row>
    <row r="26" customFormat="false" ht="19.5" hidden="false" customHeight="true" outlineLevel="0" collapsed="false">
      <c r="B26" s="28" t="s">
        <v>662</v>
      </c>
      <c r="C26" s="6"/>
      <c r="D26" s="6"/>
      <c r="E26" s="6"/>
    </row>
    <row r="27" customFormat="false" ht="15" hidden="false" customHeight="false" outlineLevel="0" collapsed="false">
      <c r="B27" s="75"/>
      <c r="C27" s="107" t="s">
        <v>663</v>
      </c>
      <c r="D27" s="107" t="s">
        <v>664</v>
      </c>
      <c r="E27" s="107" t="s">
        <v>665</v>
      </c>
    </row>
    <row r="28" customFormat="false" ht="31.5" hidden="false" customHeight="true" outlineLevel="0" collapsed="false">
      <c r="B28" s="104" t="s">
        <v>17</v>
      </c>
      <c r="C28" s="105" t="s">
        <v>69</v>
      </c>
      <c r="D28" s="108" t="s">
        <v>666</v>
      </c>
      <c r="E28" s="109" t="s">
        <v>667</v>
      </c>
    </row>
    <row r="29" customFormat="false" ht="31.5" hidden="false" customHeight="true" outlineLevel="0" collapsed="false">
      <c r="B29" s="104" t="s">
        <v>17</v>
      </c>
      <c r="C29" s="105" t="s">
        <v>71</v>
      </c>
      <c r="D29" s="108" t="s">
        <v>668</v>
      </c>
      <c r="E29" s="109" t="s">
        <v>669</v>
      </c>
    </row>
    <row r="30" customFormat="false" ht="31.5" hidden="false" customHeight="true" outlineLevel="0" collapsed="false">
      <c r="B30" s="104" t="s">
        <v>17</v>
      </c>
      <c r="C30" s="105" t="s">
        <v>424</v>
      </c>
      <c r="D30" s="108" t="s">
        <v>670</v>
      </c>
      <c r="E30" s="109" t="s">
        <v>671</v>
      </c>
    </row>
    <row r="31" customFormat="false" ht="31.5" hidden="false" customHeight="true" outlineLevel="0" collapsed="false">
      <c r="B31" s="104" t="s">
        <v>17</v>
      </c>
      <c r="C31" s="105" t="s">
        <v>431</v>
      </c>
      <c r="D31" s="108" t="s">
        <v>672</v>
      </c>
      <c r="E31" s="109" t="s">
        <v>673</v>
      </c>
    </row>
    <row r="32" customFormat="false" ht="31.5" hidden="false" customHeight="true" outlineLevel="0" collapsed="false">
      <c r="B32" s="104" t="s">
        <v>17</v>
      </c>
      <c r="C32" s="105" t="s">
        <v>199</v>
      </c>
      <c r="D32" s="108" t="s">
        <v>674</v>
      </c>
      <c r="E32" s="109" t="s">
        <v>675</v>
      </c>
    </row>
    <row r="33" customFormat="false" ht="18" hidden="false" customHeight="true" outlineLevel="0" collapsed="false">
      <c r="B33" s="104" t="s">
        <v>17</v>
      </c>
      <c r="C33" s="105" t="s">
        <v>288</v>
      </c>
      <c r="D33" s="108" t="s">
        <v>676</v>
      </c>
      <c r="E33" s="109" t="s">
        <v>677</v>
      </c>
    </row>
    <row r="34" customFormat="false" ht="31.5" hidden="false" customHeight="true" outlineLevel="0" collapsed="false">
      <c r="B34" s="104" t="s">
        <v>17</v>
      </c>
      <c r="C34" s="105" t="s">
        <v>678</v>
      </c>
      <c r="D34" s="108" t="s">
        <v>679</v>
      </c>
      <c r="E34" s="109" t="s">
        <v>680</v>
      </c>
    </row>
    <row r="35" customFormat="false" ht="45.75" hidden="false" customHeight="true" outlineLevel="0" collapsed="false">
      <c r="B35" s="104" t="s">
        <v>17</v>
      </c>
      <c r="C35" s="105" t="s">
        <v>681</v>
      </c>
      <c r="D35" s="108" t="s">
        <v>682</v>
      </c>
      <c r="E35" s="109" t="s">
        <v>683</v>
      </c>
    </row>
    <row r="36" customFormat="false" ht="18" hidden="false" customHeight="true" outlineLevel="0" collapsed="false">
      <c r="B36" s="104" t="s">
        <v>17</v>
      </c>
      <c r="C36" s="105" t="s">
        <v>684</v>
      </c>
      <c r="D36" s="108" t="s">
        <v>685</v>
      </c>
      <c r="E36" s="109" t="s">
        <v>686</v>
      </c>
    </row>
    <row r="37" customFormat="false" ht="31.5" hidden="false" customHeight="true" outlineLevel="0" collapsed="false">
      <c r="B37" s="104" t="s">
        <v>17</v>
      </c>
      <c r="C37" s="105" t="s">
        <v>687</v>
      </c>
      <c r="D37" s="108" t="s">
        <v>688</v>
      </c>
      <c r="E37" s="109" t="s">
        <v>689</v>
      </c>
    </row>
    <row r="39" customFormat="false" ht="19.5" hidden="false" customHeight="true" outlineLevel="0" collapsed="false">
      <c r="B39" s="28" t="s">
        <v>690</v>
      </c>
      <c r="C39" s="6"/>
      <c r="D39" s="6"/>
      <c r="E39" s="6"/>
    </row>
    <row r="40" customFormat="false" ht="15" hidden="false" customHeight="false" outlineLevel="0" collapsed="false">
      <c r="B40" s="75"/>
      <c r="C40" s="107" t="s">
        <v>691</v>
      </c>
      <c r="D40" s="107" t="s">
        <v>692</v>
      </c>
      <c r="E40" s="107" t="s">
        <v>693</v>
      </c>
    </row>
    <row r="41" customFormat="false" ht="31.5" hidden="false" customHeight="true" outlineLevel="0" collapsed="false">
      <c r="B41" s="104" t="s">
        <v>17</v>
      </c>
      <c r="C41" s="105" t="s">
        <v>694</v>
      </c>
      <c r="D41" s="108" t="s">
        <v>695</v>
      </c>
      <c r="E41" s="109" t="s">
        <v>696</v>
      </c>
    </row>
    <row r="42" customFormat="false" ht="31.5" hidden="false" customHeight="true" outlineLevel="0" collapsed="false">
      <c r="B42" s="104" t="s">
        <v>17</v>
      </c>
      <c r="C42" s="105" t="s">
        <v>697</v>
      </c>
      <c r="D42" s="108" t="s">
        <v>698</v>
      </c>
      <c r="E42" s="109" t="s">
        <v>699</v>
      </c>
    </row>
    <row r="43" customFormat="false" ht="31.5" hidden="false" customHeight="true" outlineLevel="0" collapsed="false">
      <c r="B43" s="104" t="s">
        <v>17</v>
      </c>
      <c r="C43" s="105" t="s">
        <v>700</v>
      </c>
      <c r="D43" s="108" t="s">
        <v>701</v>
      </c>
      <c r="E43" s="109" t="s">
        <v>702</v>
      </c>
    </row>
    <row r="44" customFormat="false" ht="31.5" hidden="false" customHeight="true" outlineLevel="0" collapsed="false">
      <c r="B44" s="104" t="s">
        <v>17</v>
      </c>
      <c r="C44" s="105" t="s">
        <v>703</v>
      </c>
      <c r="D44" s="108" t="s">
        <v>704</v>
      </c>
      <c r="E44" s="109" t="s">
        <v>705</v>
      </c>
    </row>
    <row r="45" customFormat="false" ht="31.5" hidden="false" customHeight="true" outlineLevel="0" collapsed="false">
      <c r="B45" s="104" t="s">
        <v>17</v>
      </c>
      <c r="C45" s="105" t="s">
        <v>706</v>
      </c>
      <c r="D45" s="108" t="s">
        <v>707</v>
      </c>
      <c r="E45" s="109" t="s">
        <v>708</v>
      </c>
    </row>
    <row r="46" customFormat="false" ht="31.5" hidden="false" customHeight="true" outlineLevel="0" collapsed="false">
      <c r="B46" s="104" t="s">
        <v>17</v>
      </c>
      <c r="C46" s="105" t="s">
        <v>709</v>
      </c>
      <c r="D46" s="108" t="s">
        <v>710</v>
      </c>
      <c r="E46" s="109" t="s">
        <v>711</v>
      </c>
    </row>
    <row r="47" customFormat="false" ht="31.5" hidden="false" customHeight="true" outlineLevel="0" collapsed="false">
      <c r="B47" s="104" t="s">
        <v>17</v>
      </c>
      <c r="C47" s="105" t="s">
        <v>712</v>
      </c>
      <c r="D47" s="108" t="s">
        <v>713</v>
      </c>
      <c r="E47" s="109" t="s">
        <v>714</v>
      </c>
    </row>
    <row r="48" customFormat="false" ht="31.5" hidden="false" customHeight="true" outlineLevel="0" collapsed="false">
      <c r="B48" s="104" t="s">
        <v>17</v>
      </c>
      <c r="C48" s="105" t="s">
        <v>715</v>
      </c>
      <c r="D48" s="108" t="s">
        <v>716</v>
      </c>
      <c r="E48" s="109" t="s">
        <v>717</v>
      </c>
    </row>
    <row r="49" customFormat="false" ht="31.5" hidden="false" customHeight="true" outlineLevel="0" collapsed="false">
      <c r="B49" s="104" t="s">
        <v>17</v>
      </c>
      <c r="C49" s="105" t="s">
        <v>718</v>
      </c>
      <c r="D49" s="108" t="s">
        <v>719</v>
      </c>
      <c r="E49" s="109" t="s">
        <v>720</v>
      </c>
    </row>
    <row r="51" customFormat="false" ht="19.5" hidden="false" customHeight="true" outlineLevel="0" collapsed="false">
      <c r="B51" s="28" t="s">
        <v>721</v>
      </c>
      <c r="C51" s="6"/>
      <c r="D51" s="6"/>
      <c r="E51" s="6"/>
    </row>
    <row r="52" customFormat="false" ht="43.5" hidden="false" customHeight="true" outlineLevel="0" collapsed="false">
      <c r="C52" s="110" t="s">
        <v>722</v>
      </c>
      <c r="D52" s="110"/>
      <c r="E52" s="110"/>
    </row>
  </sheetData>
  <mergeCells count="19">
    <mergeCell ref="D5:E5"/>
    <mergeCell ref="D6:E6"/>
    <mergeCell ref="D7:E7"/>
    <mergeCell ref="D8:E8"/>
    <mergeCell ref="D9:E9"/>
    <mergeCell ref="D10:E10"/>
    <mergeCell ref="D11:E11"/>
    <mergeCell ref="D12:E12"/>
    <mergeCell ref="D13:E13"/>
    <mergeCell ref="D14:E14"/>
    <mergeCell ref="D15:E15"/>
    <mergeCell ref="D16:E16"/>
    <mergeCell ref="D19:E19"/>
    <mergeCell ref="D20:E20"/>
    <mergeCell ref="D21:E21"/>
    <mergeCell ref="D22:E22"/>
    <mergeCell ref="D23:E23"/>
    <mergeCell ref="D24:E24"/>
    <mergeCell ref="C52:E5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28"/>
    <col collapsed="false" customWidth="true" hidden="false" outlineLevel="0" max="4" min="4" style="0" width="96"/>
    <col collapsed="false" customWidth="true" hidden="false" outlineLevel="0" max="5" min="5" style="0" width="40"/>
  </cols>
  <sheetData>
    <row r="1" customFormat="false" ht="22.05" hidden="false" customHeight="false" outlineLevel="0" collapsed="false">
      <c r="B1" s="48" t="s">
        <v>723</v>
      </c>
    </row>
    <row r="2" customFormat="false" ht="15" hidden="false" customHeight="false" outlineLevel="0" collapsed="false">
      <c r="B2" s="49" t="s">
        <v>724</v>
      </c>
    </row>
    <row r="4" customFormat="false" ht="15" hidden="false" customHeight="false" outlineLevel="0" collapsed="false">
      <c r="B4" s="75"/>
      <c r="C4" s="107" t="s">
        <v>725</v>
      </c>
      <c r="D4" s="107" t="s">
        <v>726</v>
      </c>
      <c r="E4" s="107" t="s">
        <v>727</v>
      </c>
    </row>
    <row r="5" customFormat="false" ht="19.5" hidden="false" customHeight="true" outlineLevel="0" collapsed="false">
      <c r="B5" s="28" t="s">
        <v>728</v>
      </c>
      <c r="C5" s="6"/>
      <c r="D5" s="6"/>
      <c r="E5" s="6"/>
    </row>
    <row r="6" customFormat="false" ht="63.75" hidden="false" customHeight="true" outlineLevel="0" collapsed="false">
      <c r="B6" s="104" t="s">
        <v>17</v>
      </c>
      <c r="C6" s="105" t="s">
        <v>729</v>
      </c>
      <c r="D6" s="111" t="s">
        <v>730</v>
      </c>
      <c r="E6" s="109" t="s">
        <v>731</v>
      </c>
    </row>
    <row r="7" customFormat="false" ht="63.75" hidden="false" customHeight="true" outlineLevel="0" collapsed="false">
      <c r="B7" s="104" t="s">
        <v>17</v>
      </c>
      <c r="C7" s="105" t="s">
        <v>732</v>
      </c>
      <c r="D7" s="111" t="s">
        <v>733</v>
      </c>
      <c r="E7" s="109" t="s">
        <v>734</v>
      </c>
    </row>
    <row r="8" customFormat="false" ht="49.5" hidden="false" customHeight="true" outlineLevel="0" collapsed="false">
      <c r="B8" s="104" t="s">
        <v>17</v>
      </c>
      <c r="C8" s="105" t="s">
        <v>735</v>
      </c>
      <c r="D8" s="111" t="s">
        <v>736</v>
      </c>
      <c r="E8" s="109" t="s">
        <v>737</v>
      </c>
    </row>
    <row r="9" customFormat="false" ht="19.5" hidden="false" customHeight="true" outlineLevel="0" collapsed="false">
      <c r="B9" s="28" t="s">
        <v>738</v>
      </c>
      <c r="C9" s="6"/>
      <c r="D9" s="6"/>
      <c r="E9" s="6"/>
    </row>
    <row r="10" customFormat="false" ht="49.5" hidden="false" customHeight="true" outlineLevel="0" collapsed="false">
      <c r="B10" s="104" t="s">
        <v>17</v>
      </c>
      <c r="C10" s="105" t="s">
        <v>739</v>
      </c>
      <c r="D10" s="111" t="s">
        <v>740</v>
      </c>
      <c r="E10" s="109" t="s">
        <v>741</v>
      </c>
    </row>
    <row r="11" customFormat="false" ht="49.5" hidden="false" customHeight="true" outlineLevel="0" collapsed="false">
      <c r="B11" s="104" t="s">
        <v>17</v>
      </c>
      <c r="C11" s="105" t="s">
        <v>742</v>
      </c>
      <c r="D11" s="111" t="s">
        <v>743</v>
      </c>
      <c r="E11" s="109" t="s">
        <v>744</v>
      </c>
    </row>
    <row r="12" customFormat="false" ht="49.5" hidden="false" customHeight="true" outlineLevel="0" collapsed="false">
      <c r="B12" s="104" t="s">
        <v>17</v>
      </c>
      <c r="C12" s="105" t="s">
        <v>745</v>
      </c>
      <c r="D12" s="111" t="s">
        <v>746</v>
      </c>
      <c r="E12" s="109" t="s">
        <v>747</v>
      </c>
    </row>
    <row r="13" customFormat="false" ht="19.5" hidden="false" customHeight="true" outlineLevel="0" collapsed="false">
      <c r="B13" s="28" t="s">
        <v>748</v>
      </c>
      <c r="C13" s="6"/>
      <c r="D13" s="6"/>
      <c r="E13" s="6"/>
    </row>
    <row r="14" customFormat="false" ht="36" hidden="false" customHeight="true" outlineLevel="0" collapsed="false">
      <c r="B14" s="104" t="s">
        <v>17</v>
      </c>
      <c r="C14" s="105" t="s">
        <v>749</v>
      </c>
      <c r="D14" s="111" t="s">
        <v>750</v>
      </c>
      <c r="E14" s="109" t="s">
        <v>751</v>
      </c>
    </row>
    <row r="15" customFormat="false" ht="49.5" hidden="false" customHeight="true" outlineLevel="0" collapsed="false">
      <c r="B15" s="104" t="s">
        <v>17</v>
      </c>
      <c r="C15" s="105" t="s">
        <v>752</v>
      </c>
      <c r="D15" s="111" t="s">
        <v>753</v>
      </c>
      <c r="E15" s="109" t="s">
        <v>754</v>
      </c>
    </row>
    <row r="16" customFormat="false" ht="36" hidden="false" customHeight="true" outlineLevel="0" collapsed="false">
      <c r="B16" s="104" t="s">
        <v>17</v>
      </c>
      <c r="C16" s="105" t="s">
        <v>755</v>
      </c>
      <c r="D16" s="111" t="s">
        <v>756</v>
      </c>
      <c r="E16" s="109" t="s">
        <v>757</v>
      </c>
    </row>
    <row r="17" customFormat="false" ht="19.5" hidden="false" customHeight="true" outlineLevel="0" collapsed="false">
      <c r="B17" s="28" t="s">
        <v>758</v>
      </c>
      <c r="C17" s="6"/>
      <c r="D17" s="6"/>
      <c r="E17" s="6"/>
    </row>
    <row r="18" customFormat="false" ht="49.5" hidden="false" customHeight="true" outlineLevel="0" collapsed="false">
      <c r="B18" s="104" t="s">
        <v>17</v>
      </c>
      <c r="C18" s="105" t="s">
        <v>759</v>
      </c>
      <c r="D18" s="111" t="s">
        <v>760</v>
      </c>
      <c r="E18" s="109" t="s">
        <v>761</v>
      </c>
    </row>
    <row r="19" customFormat="false" ht="49.5" hidden="false" customHeight="true" outlineLevel="0" collapsed="false">
      <c r="B19" s="104" t="s">
        <v>17</v>
      </c>
      <c r="C19" s="105" t="s">
        <v>762</v>
      </c>
      <c r="D19" s="111" t="s">
        <v>763</v>
      </c>
      <c r="E19" s="109" t="s">
        <v>764</v>
      </c>
    </row>
    <row r="20" customFormat="false" ht="49.5" hidden="false" customHeight="true" outlineLevel="0" collapsed="false">
      <c r="B20" s="104" t="s">
        <v>17</v>
      </c>
      <c r="C20" s="105" t="s">
        <v>765</v>
      </c>
      <c r="D20" s="111" t="s">
        <v>766</v>
      </c>
      <c r="E20" s="109" t="s">
        <v>767</v>
      </c>
    </row>
    <row r="21" customFormat="false" ht="49.5" hidden="false" customHeight="true" outlineLevel="0" collapsed="false">
      <c r="B21" s="104" t="s">
        <v>17</v>
      </c>
      <c r="C21" s="105" t="s">
        <v>768</v>
      </c>
      <c r="D21" s="111" t="s">
        <v>769</v>
      </c>
      <c r="E21" s="109" t="s">
        <v>770</v>
      </c>
    </row>
    <row r="22" customFormat="false" ht="49.5" hidden="false" customHeight="true" outlineLevel="0" collapsed="false">
      <c r="B22" s="104" t="s">
        <v>17</v>
      </c>
      <c r="C22" s="105" t="s">
        <v>771</v>
      </c>
      <c r="D22" s="111" t="s">
        <v>772</v>
      </c>
      <c r="E22" s="109" t="s">
        <v>773</v>
      </c>
    </row>
    <row r="24" customFormat="false" ht="15" hidden="false" customHeight="false" outlineLevel="0" collapsed="false">
      <c r="B24" s="28" t="s">
        <v>774</v>
      </c>
      <c r="C24" s="6"/>
      <c r="D24" s="6"/>
      <c r="E24" s="6"/>
    </row>
    <row r="25" customFormat="false" ht="15" hidden="false" customHeight="false" outlineLevel="0" collapsed="false">
      <c r="B25" s="29" t="s">
        <v>17</v>
      </c>
      <c r="C25" s="30" t="s">
        <v>775</v>
      </c>
      <c r="D25" s="30"/>
      <c r="E25" s="30"/>
    </row>
    <row r="26" customFormat="false" ht="15" hidden="false" customHeight="false" outlineLevel="0" collapsed="false">
      <c r="B26" s="29" t="s">
        <v>17</v>
      </c>
      <c r="C26" s="30" t="s">
        <v>776</v>
      </c>
      <c r="D26" s="30"/>
      <c r="E26" s="30"/>
    </row>
    <row r="27" customFormat="false" ht="15" hidden="false" customHeight="false" outlineLevel="0" collapsed="false">
      <c r="B27" s="29" t="s">
        <v>17</v>
      </c>
      <c r="C27" s="30" t="s">
        <v>777</v>
      </c>
      <c r="D27" s="30"/>
      <c r="E27" s="30"/>
    </row>
    <row r="28" customFormat="false" ht="15" hidden="false" customHeight="false" outlineLevel="0" collapsed="false">
      <c r="B28" s="29" t="s">
        <v>17</v>
      </c>
      <c r="C28" s="30" t="s">
        <v>778</v>
      </c>
      <c r="D28" s="30"/>
      <c r="E28" s="30"/>
    </row>
  </sheetData>
  <mergeCells count="4">
    <mergeCell ref="C25:E25"/>
    <mergeCell ref="C26:E26"/>
    <mergeCell ref="C27:E27"/>
    <mergeCell ref="C28:E2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2026-10-14T19:14:31Z</dcterms:created>
  <dc:creator>openpyxl</dc:creator>
  <dc:description/>
  <dc:language>en-US</dc:language>
  <cp:lastModifiedBy/>
  <dcterms:modified xsi:type="dcterms:W3CDTF">2026-10-14T14:14:35Z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