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Overview" sheetId="2" state="visible" r:id="rId4"/>
    <sheet name="Project Brief" sheetId="3" state="visible" r:id="rId5"/>
    <sheet name="Website Project" sheetId="4" state="visible" r:id="rId6"/>
    <sheet name="Digital Campaign" sheetId="5" state="visible" r:id="rId7"/>
    <sheet name="Trade Show &amp; Event" sheetId="6" state="visible" r:id="rId8"/>
    <sheet name="Event Calendar &amp; Budget" sheetId="7" state="visible" r:id="rId9"/>
    <sheet name="Event ROI Calculator" sheetId="8" state="visible" r:id="rId10"/>
    <sheet name="Other Project" sheetId="9" state="visible" r:id="rId11"/>
    <sheet name="AI &amp; Tool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<sst xmlns="http://schemas.openxmlformats.org/spreadsheetml/2006/main" count="1004" uniqueCount="525">
  <si>
    <t xml:space="preserve">NP CONNECT  |  MARKETING TOOLKIT</t>
  </si>
  <si>
    <t xml:space="preserve">Project Timeline &amp; Event Planner</t>
  </si>
  <si>
    <t xml:space="preserve">Looking to organize a large website or event project? This Excel template will help you define specific tasks and create timelines. Easy to use and make your own.</t>
  </si>
  <si>
    <t xml:space="preserve">Big projects don't fail because of one huge mistake. They fail because of 40 small tasks nobody owned. This workbook gives every task an owner and a date, draws the timeline for you, and yells (politely, in red) when something's late.</t>
  </si>
  <si>
    <t xml:space="preserve">WHAT'S INSIDE</t>
  </si>
  <si>
    <t xml:space="preserve">■</t>
  </si>
  <si>
    <t xml:space="preserve">Overview: every project on one page with % complete, overdue tasks, next deadline and health.</t>
  </si>
  <si>
    <t xml:space="preserve">Project Brief: the 10-minute kickoff that saves 10 meetings. Goal, scope, who decides, risks.</t>
  </si>
  <si>
    <t xml:space="preserve">Website Project: a full website build plan, a page tracker and a 20-point launch checklist.</t>
  </si>
  <si>
    <t xml:space="preserve">Digital Campaign: ad campaigns, launches and promos, plus an asset tracker.</t>
  </si>
  <si>
    <t xml:space="preserve">Trade Show &amp; Event: a countdown plan from 5 months out to follow-up, who you want to meet, the event budget, results, packing list, staff schedule, follow-up plan and show notes.</t>
  </si>
  <si>
    <t xml:space="preserve">Event Calendar &amp; Budget: every event for the year with costs, leads, revenue, return on spend and "go again?"</t>
  </si>
  <si>
    <t xml:space="preserve">Event ROI Calculator: should you do the show? Worst, expected and best case, plus break-even.</t>
  </si>
  <si>
    <t xml:space="preserve">Other Project: a blank plan for everything else.   AI &amp; Tools: prompts and the tools that pair with this workbook.</t>
  </si>
  <si>
    <t xml:space="preserve">HOW THE TIMELINES WORK</t>
  </si>
  <si>
    <t xml:space="preserve">1.  Type the kickoff date (or event date) at the top of a project tab. Every task's start date counts from it, so change one date and the whole plan moves.</t>
  </si>
  <si>
    <t xml:space="preserve">2.  For each task: owner, start offset (days from the kickoff, or negative days before an event), how many days it takes, and which task it depends on.</t>
  </si>
  <si>
    <t xml:space="preserve">3.  Need a task locked to a specific date? Type it in "Fixed start" and it ignores the offset.</t>
  </si>
  <si>
    <t xml:space="preserve">4.  Update Status and % done every week. The bars, flags and the Overview update on their own.</t>
  </si>
  <si>
    <t xml:space="preserve">THE COLOR CODE</t>
  </si>
  <si>
    <t xml:space="preserve">Green cells with blue text = you type here.   White cells = formulas. Leave them alone and they'll do the math.</t>
  </si>
  <si>
    <t xml:space="preserve">This file comes loaded with SAMPLE projects so you can see how it works. The sample dates are tied to today's date, so the demo always looks current. Type your real kickoff and event dates to make it yours, then replace the tasks.</t>
  </si>
  <si>
    <t xml:space="preserve">PICKLE POINT</t>
  </si>
  <si>
    <t xml:space="preserve">"If it's documented, it's scalable... and frees you up to sell."  Nick Packard</t>
  </si>
  <si>
    <t xml:space="preserve">More free tools from the book Picklefarts: Stupid Ideas. Smart Marketing. at nickisatool.com</t>
  </si>
  <si>
    <t xml:space="preserve">Project Overview</t>
  </si>
  <si>
    <t xml:space="preserve">Every project in this workbook on one page. All calculated.</t>
  </si>
  <si>
    <t xml:space="preserve">Tab</t>
  </si>
  <si>
    <t xml:space="preserve">Project</t>
  </si>
  <si>
    <t xml:space="preserve">Lead</t>
  </si>
  <si>
    <t xml:space="preserve">Starts</t>
  </si>
  <si>
    <t xml:space="preserve">Finishes</t>
  </si>
  <si>
    <t xml:space="preserve">% complete</t>
  </si>
  <si>
    <t xml:space="preserve">Tasks</t>
  </si>
  <si>
    <t xml:space="preserve">Done</t>
  </si>
  <si>
    <t xml:space="preserve">Overdue</t>
  </si>
  <si>
    <t xml:space="preserve">Next deadline</t>
  </si>
  <si>
    <t xml:space="preserve">Health</t>
  </si>
  <si>
    <t xml:space="preserve">Website Project</t>
  </si>
  <si>
    <t xml:space="preserve">Digital Campaign</t>
  </si>
  <si>
    <t xml:space="preserve">Trade Show &amp; Event</t>
  </si>
  <si>
    <t xml:space="preserve">Other Project</t>
  </si>
  <si>
    <t xml:space="preserve">Need more projects? Right-click a project tab &gt; Move or Copy &gt; Create a copy. Then add a row here and point it at the new tab.</t>
  </si>
  <si>
    <t xml:space="preserve">EVENTS THIS YEAR (from the Event Calendar &amp; Budget tab)</t>
  </si>
  <si>
    <t xml:space="preserve">Events on the calendar</t>
  </si>
  <si>
    <t xml:space="preserve">Total estimated event spend</t>
  </si>
  <si>
    <t xml:space="preserve">Actual spent so far</t>
  </si>
  <si>
    <t xml:space="preserve">Leads from events</t>
  </si>
  <si>
    <t xml:space="preserve">Revenue from events</t>
  </si>
  <si>
    <t xml:space="preserve">Cost per lead (events)</t>
  </si>
  <si>
    <t xml:space="preserve">Project Brief</t>
  </si>
  <si>
    <t xml:space="preserve">Fill this out before anyone touches a task. Ten minutes here saves ten meetings later. Make a copy of this tab for each project.</t>
  </si>
  <si>
    <t xml:space="preserve">THE BASICS</t>
  </si>
  <si>
    <t xml:space="preserve">Project name</t>
  </si>
  <si>
    <t xml:space="preserve">Website refresh</t>
  </si>
  <si>
    <t xml:space="preserve">Project lead (one name)</t>
  </si>
  <si>
    <t xml:space="preserve">Owner</t>
  </si>
  <si>
    <t xml:space="preserve">Kickoff + deadline</t>
  </si>
  <si>
    <t xml:space="preserve">Kickoff in early September, launch before the holiday rush</t>
  </si>
  <si>
    <t xml:space="preserve">Budget</t>
  </si>
  <si>
    <t xml:space="preserve">$12,000 (includes agency, photos and plugins)</t>
  </si>
  <si>
    <t xml:space="preserve">WHY ARE WE DOING THIS?</t>
  </si>
  <si>
    <t xml:space="preserve">The problem</t>
  </si>
  <si>
    <t xml:space="preserve">Our site is 6 years old, slow on phones, and doesn't explain what we do. Leads from the site dropped 30% this year.</t>
  </si>
  <si>
    <t xml:space="preserve">What success looks like (with numbers)</t>
  </si>
  <si>
    <t xml:space="preserve">Double website leads within 6 months. Page speed score over 80 on mobile. Owner can update content without calling anyone.</t>
  </si>
  <si>
    <t xml:space="preserve">How we'll measure it</t>
  </si>
  <si>
    <t xml:space="preserve">GA4 key events, form fills in the CRM, PageSpeed Insights before and after (Marketing KPI Tracker).</t>
  </si>
  <si>
    <t xml:space="preserve">SCOPE</t>
  </si>
  <si>
    <t xml:space="preserve">In scope</t>
  </si>
  <si>
    <t xml:space="preserve">New design, 12 pages, copy rewrite, photos, SEO basics, forms connected to the CRM, redirects.</t>
  </si>
  <si>
    <t xml:space="preserve">Out of scope (just as important)</t>
  </si>
  <si>
    <t xml:space="preserve">Ecommerce, a customer portal, the blog backlog. Parked for phase 2.</t>
  </si>
  <si>
    <t xml:space="preserve">WHO'S INVOLVED</t>
  </si>
  <si>
    <t xml:space="preserve">Decides (one person)</t>
  </si>
  <si>
    <t xml:space="preserve">Does the work</t>
  </si>
  <si>
    <t xml:space="preserve">Agency (design + build), Jess (copy + photos)</t>
  </si>
  <si>
    <t xml:space="preserve">Gets a say before decisions</t>
  </si>
  <si>
    <t xml:space="preserve">Marcus (sales), our top 3 customers (quick feedback)</t>
  </si>
  <si>
    <t xml:space="preserve">Gets updates</t>
  </si>
  <si>
    <t xml:space="preserve">Whole team, every Friday</t>
  </si>
  <si>
    <t xml:space="preserve">RISKS (and what we'll do about them)</t>
  </si>
  <si>
    <t xml:space="preserve">Risk</t>
  </si>
  <si>
    <t xml:space="preserve">How likely?</t>
  </si>
  <si>
    <t xml:space="preserve">How bad?</t>
  </si>
  <si>
    <t xml:space="preserve">Our plan</t>
  </si>
  <si>
    <t xml:space="preserve">Copy takes forever (it always does)</t>
  </si>
  <si>
    <t xml:space="preserve">High</t>
  </si>
  <si>
    <t xml:space="preserve">AI drafts first, one approver, 48-hour turnaround</t>
  </si>
  <si>
    <t xml:space="preserve">Photos aren't ready</t>
  </si>
  <si>
    <t xml:space="preserve">Medium</t>
  </si>
  <si>
    <t xml:space="preserve">Book the photographer in week 2</t>
  </si>
  <si>
    <t xml:space="preserve">Scope creep</t>
  </si>
  <si>
    <t xml:space="preserve">New ideas go to the phase 2 list, not this project</t>
  </si>
  <si>
    <t xml:space="preserve">HOW WE'LL COMMUNICATE</t>
  </si>
  <si>
    <t xml:space="preserve">Weekly update (day + time)</t>
  </si>
  <si>
    <t xml:space="preserve">Fridays by noon, 5 bullets: done, next, stuck, decisions needed, risks</t>
  </si>
  <si>
    <t xml:space="preserve">Where tasks and files live</t>
  </si>
  <si>
    <t xml:space="preserve">This workbook + shared Google Drive folder (01 Brief, 02 Content, 03 Design, 04 Final)</t>
  </si>
  <si>
    <t xml:space="preserve">Meetings</t>
  </si>
  <si>
    <t xml:space="preserve">15-minute check-in every Tuesday. That's it.</t>
  </si>
  <si>
    <t xml:space="preserve">SIGN-OFF</t>
  </si>
  <si>
    <t xml:space="preserve">Approved by + date</t>
  </si>
  <si>
    <t xml:space="preserve">A website build or refresh, start to finish. Change the kickoff date and the whole timeline moves.</t>
  </si>
  <si>
    <t xml:space="preserve">Tasks done</t>
  </si>
  <si>
    <t xml:space="preserve">Project lead</t>
  </si>
  <si>
    <t xml:space="preserve">Overdue tasks</t>
  </si>
  <si>
    <t xml:space="preserve">Kickoff date</t>
  </si>
  <si>
    <t xml:space="preserve">Goal</t>
  </si>
  <si>
    <t xml:space="preserve">Double website leads within 6 months of launch</t>
  </si>
  <si>
    <t xml:space="preserve">Sample uses today's date so the demo always looks live. Type your real date here and every task moves with it.</t>
  </si>
  <si>
    <t xml:space="preserve">Offsets count from the kickoff date.</t>
  </si>
  <si>
    <t xml:space="preserve">#</t>
  </si>
  <si>
    <t xml:space="preserve">Phase</t>
  </si>
  <si>
    <t xml:space="preserve">Task</t>
  </si>
  <si>
    <t xml:space="preserve">Start offset (days)</t>
  </si>
  <si>
    <t xml:space="preserve">Fixed start (optional)</t>
  </si>
  <si>
    <t xml:space="preserve">Start</t>
  </si>
  <si>
    <t xml:space="preserve">Days</t>
  </si>
  <si>
    <t xml:space="preserve">End</t>
  </si>
  <si>
    <t xml:space="preserve">Depends on #</t>
  </si>
  <si>
    <t xml:space="preserve">Status</t>
  </si>
  <si>
    <t xml:space="preserve">% done</t>
  </si>
  <si>
    <t xml:space="preserve">Flag</t>
  </si>
  <si>
    <t xml:space="preserve">Notes</t>
  </si>
  <si>
    <t xml:space="preserve">Discovery</t>
  </si>
  <si>
    <t xml:space="preserve">Kickoff meeting + project brief (Project Brief tab)</t>
  </si>
  <si>
    <t xml:space="preserve">Goals, audience and success metrics (use your Target Client Profile)</t>
  </si>
  <si>
    <t xml:space="preserve">Site audit + analytics baseline (GA4, Search Console)</t>
  </si>
  <si>
    <t xml:space="preserve">Agency</t>
  </si>
  <si>
    <t xml:space="preserve">Sitemap + page list (Page Tracker below)</t>
  </si>
  <si>
    <t xml:space="preserve">Content plan: who writes what, and by when</t>
  </si>
  <si>
    <t xml:space="preserve">Jess</t>
  </si>
  <si>
    <t xml:space="preserve">In progress</t>
  </si>
  <si>
    <t xml:space="preserve">Design</t>
  </si>
  <si>
    <t xml:space="preserve">Wireframes: home + key pages</t>
  </si>
  <si>
    <t xml:space="preserve">Design mockups</t>
  </si>
  <si>
    <t xml:space="preserve">Design review + approval</t>
  </si>
  <si>
    <t xml:space="preserve">Waiting on someone</t>
  </si>
  <si>
    <t xml:space="preserve">Content</t>
  </si>
  <si>
    <t xml:space="preserve">Write page copy (AI drafts, humans finish)</t>
  </si>
  <si>
    <t xml:space="preserve">Collect and edit photos and video</t>
  </si>
  <si>
    <t xml:space="preserve">SEO: keywords, title tags, meta descriptions</t>
  </si>
  <si>
    <t xml:space="preserve">Copy review + approval</t>
  </si>
  <si>
    <t xml:space="preserve">Not started</t>
  </si>
  <si>
    <t xml:space="preserve">Build</t>
  </si>
  <si>
    <t xml:space="preserve">Build theme + page templates</t>
  </si>
  <si>
    <t xml:space="preserve">Load content + images</t>
  </si>
  <si>
    <t xml:space="preserve">Forms, CRM and email integrations</t>
  </si>
  <si>
    <t xml:space="preserve">301 redirects from every old URL</t>
  </si>
  <si>
    <t xml:space="preserve">Launch</t>
  </si>
  <si>
    <t xml:space="preserve">QA: mobile, browsers, speed, forms, links (checklist below)</t>
  </si>
  <si>
    <t xml:space="preserve">Accessibility + privacy check</t>
  </si>
  <si>
    <t xml:space="preserve">Final approval</t>
  </si>
  <si>
    <t xml:space="preserve">Go live (and tell everyone)</t>
  </si>
  <si>
    <t xml:space="preserve">After launch</t>
  </si>
  <si>
    <t xml:space="preserve">Submit sitemap + confirm tracking works</t>
  </si>
  <si>
    <t xml:space="preserve">Fix-it list (first 2 weeks)</t>
  </si>
  <si>
    <t xml:space="preserve">30-day results review</t>
  </si>
  <si>
    <t xml:space="preserve">Bar colors: green = scheduled, gray = done, red = overdue, gold = waiting or blocked, yellow column = this week. "Check order" means a task starts before the task it depends on ends.</t>
  </si>
  <si>
    <t xml:space="preserve">PAGE TRACKER</t>
  </si>
  <si>
    <t xml:space="preserve">Page</t>
  </si>
  <si>
    <t xml:space="preserve">Copy</t>
  </si>
  <si>
    <t xml:space="preserve">Images</t>
  </si>
  <si>
    <t xml:space="preserve">Built</t>
  </si>
  <si>
    <t xml:space="preserve">SEO</t>
  </si>
  <si>
    <t xml:space="preserve">Approved</t>
  </si>
  <si>
    <t xml:space="preserve">Home</t>
  </si>
  <si>
    <t xml:space="preserve">About</t>
  </si>
  <si>
    <t xml:space="preserve">Services (main)</t>
  </si>
  <si>
    <t xml:space="preserve">Service page: [name]</t>
  </si>
  <si>
    <t xml:space="preserve">Reviews / case studies</t>
  </si>
  <si>
    <t xml:space="preserve">Contact / book a call</t>
  </si>
  <si>
    <t xml:space="preserve">Blog</t>
  </si>
  <si>
    <t xml:space="preserve">Privacy policy</t>
  </si>
  <si>
    <t xml:space="preserve">LAUNCH CHECKLIST (don't skip this... seriously)</t>
  </si>
  <si>
    <t xml:space="preserve">Check</t>
  </si>
  <si>
    <t xml:space="preserve">Done?</t>
  </si>
  <si>
    <t xml:space="preserve">Looks right on phones and tablets</t>
  </si>
  <si>
    <t xml:space="preserve">No</t>
  </si>
  <si>
    <t xml:space="preserve">Works in Chrome, Safari, Edge and Firefox</t>
  </si>
  <si>
    <t xml:space="preserve">Page speed checked (Google PageSpeed Insights)</t>
  </si>
  <si>
    <t xml:space="preserve">Every form tested and lands in the right inbox or CRM</t>
  </si>
  <si>
    <t xml:space="preserve">Thank-you pages and conversions tracking in GA4</t>
  </si>
  <si>
    <t xml:space="preserve">GA4 and Google Tag Manager installed</t>
  </si>
  <si>
    <t xml:space="preserve">Search Console verified and sitemap submitted</t>
  </si>
  <si>
    <t xml:space="preserve">301 redirects working for every old URL</t>
  </si>
  <si>
    <t xml:space="preserve">Title tags and meta descriptions on every page</t>
  </si>
  <si>
    <t xml:space="preserve">Alt text on every image</t>
  </si>
  <si>
    <t xml:space="preserve">HTTPS everywhere (no security warnings)</t>
  </si>
  <si>
    <t xml:space="preserve">Favicon and social share image (1200 x 630)</t>
  </si>
  <si>
    <t xml:space="preserve">Privacy policy and cookie notice (where required)</t>
  </si>
  <si>
    <t xml:space="preserve">Accessibility basics: contrast, headings, keyboard navigation</t>
  </si>
  <si>
    <t xml:space="preserve">Custom 404 page</t>
  </si>
  <si>
    <t xml:space="preserve">Phone number tap-to-call on mobile</t>
  </si>
  <si>
    <t xml:space="preserve">Google Business Profile website link updated</t>
  </si>
  <si>
    <t xml:space="preserve">Backups scheduled</t>
  </si>
  <si>
    <t xml:space="preserve">Plugins and theme updated, admin logins use 2-factor</t>
  </si>
  <si>
    <t xml:space="preserve">WordPress: "Discourage search engines" turned OFF</t>
  </si>
  <si>
    <t xml:space="preserve">Ready to launch?</t>
  </si>
  <si>
    <t xml:space="preserve">Ad campaigns, product launches, promos and email pushes. Change the kickoff date and everything moves.</t>
  </si>
  <si>
    <t xml:space="preserve">Fall offer campaign</t>
  </si>
  <si>
    <t xml:space="preserve">Marcus</t>
  </si>
  <si>
    <t xml:space="preserve">60 booked calls at under $100 each</t>
  </si>
  <si>
    <t xml:space="preserve">Strategy</t>
  </si>
  <si>
    <t xml:space="preserve">Campaign brief: goal, audience, offer, budget</t>
  </si>
  <si>
    <t xml:space="preserve">Audience + message (pull from your Target Client Profile)</t>
  </si>
  <si>
    <t xml:space="preserve">Offer + landing page plan</t>
  </si>
  <si>
    <t xml:space="preserve">Landing page copy + design</t>
  </si>
  <si>
    <t xml:space="preserve">Ad creative: images + short video</t>
  </si>
  <si>
    <t xml:space="preserve">Ad copy variations (let AI draft 10, keep 3)</t>
  </si>
  <si>
    <t xml:space="preserve">Email sequence (3 emails)</t>
  </si>
  <si>
    <t xml:space="preserve">Tracking: UTM links, pixels, GA4 conversions</t>
  </si>
  <si>
    <t xml:space="preserve">QA everything (links, forms, tracking, mobile)</t>
  </si>
  <si>
    <t xml:space="preserve">Launch ads + emails</t>
  </si>
  <si>
    <t xml:space="preserve">Optimize</t>
  </si>
  <si>
    <t xml:space="preserve">Weekly optimization: kill losers, scale winners</t>
  </si>
  <si>
    <t xml:space="preserve">Mid-campaign check-in</t>
  </si>
  <si>
    <t xml:space="preserve">Wrap-up</t>
  </si>
  <si>
    <t xml:space="preserve">Final report + what we'd do differently</t>
  </si>
  <si>
    <t xml:space="preserve">ASSET TRACKER</t>
  </si>
  <si>
    <t xml:space="preserve">Asset</t>
  </si>
  <si>
    <t xml:space="preserve">Channel</t>
  </si>
  <si>
    <t xml:space="preserve">Size / spec</t>
  </si>
  <si>
    <t xml:space="preserve">Due</t>
  </si>
  <si>
    <t xml:space="preserve">Link to file</t>
  </si>
  <si>
    <t xml:space="preserve">Landing page</t>
  </si>
  <si>
    <t xml:space="preserve">Website</t>
  </si>
  <si>
    <t xml:space="preserve">Desktop + mobile</t>
  </si>
  <si>
    <t xml:space="preserve">Facebook / Instagram feed ad (3 versions)</t>
  </si>
  <si>
    <t xml:space="preserve">Meta</t>
  </si>
  <si>
    <t xml:space="preserve">1080 x 1350</t>
  </si>
  <si>
    <t xml:space="preserve">Reel / Story ad</t>
  </si>
  <si>
    <t xml:space="preserve">1080 x 1920, 15 sec</t>
  </si>
  <si>
    <t xml:space="preserve">LinkedIn single image ad</t>
  </si>
  <si>
    <t xml:space="preserve">LinkedIn</t>
  </si>
  <si>
    <t xml:space="preserve">1200 x 627</t>
  </si>
  <si>
    <t xml:space="preserve">Google search ads (headlines + descriptions)</t>
  </si>
  <si>
    <t xml:space="preserve">Google</t>
  </si>
  <si>
    <t xml:space="preserve">15 headlines, 4 descriptions</t>
  </si>
  <si>
    <t xml:space="preserve">Email 1: the offer</t>
  </si>
  <si>
    <t xml:space="preserve">Email</t>
  </si>
  <si>
    <t xml:space="preserve">Plain text + 1 image</t>
  </si>
  <si>
    <t xml:space="preserve">Email 2: proof</t>
  </si>
  <si>
    <t xml:space="preserve">Email 3: last call</t>
  </si>
  <si>
    <t xml:space="preserve">Due dates on the sample assets follow the kickoff date. Type over them with real dates whenever you like.</t>
  </si>
  <si>
    <t xml:space="preserve">Plan a show by counting back from the event date. Change the date and every task moves with it.</t>
  </si>
  <si>
    <t xml:space="preserve">Spring Home &amp; Builder Expo</t>
  </si>
  <si>
    <t xml:space="preserve">Event date</t>
  </si>
  <si>
    <t xml:space="preserve">40 qualified leads, 12 meetings, 3 new customers</t>
  </si>
  <si>
    <t xml:space="preserve">Offsets count from the event date (negative = before the event).</t>
  </si>
  <si>
    <t xml:space="preserve">4+ months out</t>
  </si>
  <si>
    <t xml:space="preserve">Pick the show and set goals: leads, meetings, sales</t>
  </si>
  <si>
    <t xml:space="preserve">Run the numbers on the Event ROI Calculator. Go or no-go?</t>
  </si>
  <si>
    <t xml:space="preserve">Book booth space + read the exhibitor manual (deadlines!)</t>
  </si>
  <si>
    <t xml:space="preserve">Set the event budget (below)</t>
  </si>
  <si>
    <t xml:space="preserve">Book hotel + travel</t>
  </si>
  <si>
    <t xml:space="preserve">3 months out</t>
  </si>
  <si>
    <t xml:space="preserve">Booth design + graphics brief</t>
  </si>
  <si>
    <t xml:space="preserve">Plan the hook: the demo, game or stunt that stops people</t>
  </si>
  <si>
    <t xml:space="preserve">Order booth, banners and signage</t>
  </si>
  <si>
    <t xml:space="preserve">Lead capture setup (scanner app, form or CRM)</t>
  </si>
  <si>
    <t xml:space="preserve">2 months out</t>
  </si>
  <si>
    <t xml:space="preserve">Order giveaways (only if they tie to your message)</t>
  </si>
  <si>
    <t xml:space="preserve">Pre-show outreach: email + LinkedIn to attendees</t>
  </si>
  <si>
    <t xml:space="preserve">Book meetings with top prospects</t>
  </si>
  <si>
    <t xml:space="preserve">1 month out</t>
  </si>
  <si>
    <t xml:space="preserve">Print sales docs + business cards</t>
  </si>
  <si>
    <t xml:space="preserve">Social posts: "Come see us at booth #___"</t>
  </si>
  <si>
    <t xml:space="preserve">2 weeks out</t>
  </si>
  <si>
    <t xml:space="preserve">Staff schedule + booth training (the 30-second pitch)</t>
  </si>
  <si>
    <t xml:space="preserve">Ship booth + materials (check the shipping deadline)</t>
  </si>
  <si>
    <t xml:space="preserve">Pack the kit (packing list below)</t>
  </si>
  <si>
    <t xml:space="preserve">Show</t>
  </si>
  <si>
    <t xml:space="preserve">Setup day</t>
  </si>
  <si>
    <t xml:space="preserve">Team</t>
  </si>
  <si>
    <t xml:space="preserve">Show days: work the booth</t>
  </si>
  <si>
    <t xml:space="preserve">Upload leads + notes every night</t>
  </si>
  <si>
    <t xml:space="preserve">After</t>
  </si>
  <si>
    <t xml:space="preserve">Teardown + ship back</t>
  </si>
  <si>
    <t xml:space="preserve">Follow up with every lead within 48 hours</t>
  </si>
  <si>
    <t xml:space="preserve">Hot leads into the sales cadence (Multi-Touch Sales Script)</t>
  </si>
  <si>
    <t xml:space="preserve">Results recap: cost per lead, meetings, pipeline. Go again?</t>
  </si>
  <si>
    <t xml:space="preserve">Bar colors: green = scheduled, gray = done, red = overdue, gold = waiting or blocked, black = event week, yellow column = this week. "Check order" means a task starts before the task it depends on ends.</t>
  </si>
  <si>
    <t xml:space="preserve">WHO WE WANT TO MEET (pull from your Target Client Profile)</t>
  </si>
  <si>
    <t xml:space="preserve">Audience bucket</t>
  </si>
  <si>
    <t xml:space="preserve">Who they are</t>
  </si>
  <si>
    <t xml:space="preserve">What they care about</t>
  </si>
  <si>
    <t xml:space="preserve">Our hook / message</t>
  </si>
  <si>
    <t xml:space="preserve">Builders + remodelers</t>
  </si>
  <si>
    <t xml:space="preserve">Owners and project managers at small to mid-size builders</t>
  </si>
  <si>
    <t xml:space="preserve">Reliable subs who show up on schedule</t>
  </si>
  <si>
    <t xml:space="preserve">"We hit your schedule or the install is free."</t>
  </si>
  <si>
    <t xml:space="preserve">15 conversations</t>
  </si>
  <si>
    <t xml:space="preserve">Homeowners planning projects</t>
  </si>
  <si>
    <t xml:space="preserve">Homeowners 35 to 65 with a project in the next year</t>
  </si>
  <si>
    <t xml:space="preserve">Not getting ripped off, comfort, energy bills</t>
  </si>
  <si>
    <t xml:space="preserve">"Free comfort check: find out what your house actually needs."</t>
  </si>
  <si>
    <t xml:space="preserve">25 leads</t>
  </si>
  <si>
    <t xml:space="preserve">Property managers</t>
  </si>
  <si>
    <t xml:space="preserve">Managers of 20+ units</t>
  </si>
  <si>
    <t xml:space="preserve">Fast response, one vendor for everything</t>
  </si>
  <si>
    <t xml:space="preserve">"One call. Every unit. Same-week service."</t>
  </si>
  <si>
    <t xml:space="preserve">5 meetings</t>
  </si>
  <si>
    <t xml:space="preserve">EVENT BUDGET</t>
  </si>
  <si>
    <t xml:space="preserve">Category</t>
  </si>
  <si>
    <t xml:space="preserve">Item</t>
  </si>
  <si>
    <t xml:space="preserve">Estimated</t>
  </si>
  <si>
    <t xml:space="preserve">Actual</t>
  </si>
  <si>
    <t xml:space="preserve">Booth &amp; rentals</t>
  </si>
  <si>
    <t xml:space="preserve">Booth space</t>
  </si>
  <si>
    <t xml:space="preserve">Electricity, internet, furniture, carpet</t>
  </si>
  <si>
    <t xml:space="preserve">Booth display + graphics</t>
  </si>
  <si>
    <t xml:space="preserve">Promotion</t>
  </si>
  <si>
    <t xml:space="preserve">Pre-show ads (search + social)</t>
  </si>
  <si>
    <t xml:space="preserve">Email + direct mail to attendees</t>
  </si>
  <si>
    <t xml:space="preserve">Sponsorship add-ons (show guide ad, banner)</t>
  </si>
  <si>
    <t xml:space="preserve">Swag &amp; handouts</t>
  </si>
  <si>
    <t xml:space="preserve">Booth game or demo</t>
  </si>
  <si>
    <t xml:space="preserve">Sales docs + business cards</t>
  </si>
  <si>
    <t xml:space="preserve">Giveaways / gift cards</t>
  </si>
  <si>
    <t xml:space="preserve">Travel &amp; shipping</t>
  </si>
  <si>
    <t xml:space="preserve">Shipping + drayage</t>
  </si>
  <si>
    <t xml:space="preserve">Hotel + travel</t>
  </si>
  <si>
    <t xml:space="preserve">Meals</t>
  </si>
  <si>
    <t xml:space="preserve">Other</t>
  </si>
  <si>
    <t xml:space="preserve">Lead capture app</t>
  </si>
  <si>
    <t xml:space="preserve">Total</t>
  </si>
  <si>
    <t xml:space="preserve">RESULTS (fill in after the show)</t>
  </si>
  <si>
    <t xml:space="preserve">Leads collected</t>
  </si>
  <si>
    <t xml:space="preserve">Cost per lead</t>
  </si>
  <si>
    <t xml:space="preserve">Qualified leads</t>
  </si>
  <si>
    <t xml:space="preserve">Cost per meeting</t>
  </si>
  <si>
    <t xml:space="preserve">Meetings booked</t>
  </si>
  <si>
    <t xml:space="preserve">Return on spend (revenue)</t>
  </si>
  <si>
    <t xml:space="preserve">New customers (so far)</t>
  </si>
  <si>
    <t xml:space="preserve">Go again next year?</t>
  </si>
  <si>
    <t xml:space="preserve">Revenue from those customers</t>
  </si>
  <si>
    <t xml:space="preserve">Costs use your actual total once you enter it, otherwise the estimate. Log the totals on the Event Calendar &amp; Budget tab too.</t>
  </si>
  <si>
    <t xml:space="preserve">PACKING LIST</t>
  </si>
  <si>
    <t xml:space="preserve">BOOTH STAFF SCHEDULE</t>
  </si>
  <si>
    <t xml:space="preserve">Qty</t>
  </si>
  <si>
    <t xml:space="preserve">Packed?</t>
  </si>
  <si>
    <t xml:space="preserve">Day</t>
  </si>
  <si>
    <t xml:space="preserve">Time</t>
  </si>
  <si>
    <t xml:space="preserve">Who</t>
  </si>
  <si>
    <t xml:space="preserve">Role</t>
  </si>
  <si>
    <t xml:space="preserve">Day 1</t>
  </si>
  <si>
    <t xml:space="preserve">8:00-12:00</t>
  </si>
  <si>
    <t xml:space="preserve">Greeter + demo</t>
  </si>
  <si>
    <t xml:space="preserve">Table cover / tablecloth</t>
  </si>
  <si>
    <t xml:space="preserve">12:00-5:00</t>
  </si>
  <si>
    <t xml:space="preserve">Meetings + lead capture</t>
  </si>
  <si>
    <t xml:space="preserve">Banner stands</t>
  </si>
  <si>
    <t xml:space="preserve">Day 2</t>
  </si>
  <si>
    <t xml:space="preserve">Greeter + social posts</t>
  </si>
  <si>
    <t xml:space="preserve">Monitor or tablet + stand (for the demo)</t>
  </si>
  <si>
    <t xml:space="preserve">Extension cords + power strip</t>
  </si>
  <si>
    <t xml:space="preserve">Day 3</t>
  </si>
  <si>
    <t xml:space="preserve">Greeter + lead capture</t>
  </si>
  <si>
    <t xml:space="preserve">Phone chargers + battery packs</t>
  </si>
  <si>
    <t xml:space="preserve">12:00-3:00</t>
  </si>
  <si>
    <t xml:space="preserve">Last push + teardown</t>
  </si>
  <si>
    <t xml:space="preserve">Lead capture device or app login</t>
  </si>
  <si>
    <t xml:space="preserve">Business cards</t>
  </si>
  <si>
    <t xml:space="preserve">Sales docs / one-pagers</t>
  </si>
  <si>
    <t xml:space="preserve">Giveaways</t>
  </si>
  <si>
    <t xml:space="preserve">Bowl or game for the hook</t>
  </si>
  <si>
    <t xml:space="preserve">Pens + sharpies</t>
  </si>
  <si>
    <t xml:space="preserve">LEAD FOLLOW-UP PLAN</t>
  </si>
  <si>
    <t xml:space="preserve">Tape, zip ties, scissors, box cutter</t>
  </si>
  <si>
    <t xml:space="preserve">Hot</t>
  </si>
  <si>
    <t xml:space="preserve">Call within 24 hours + email recap</t>
  </si>
  <si>
    <t xml:space="preserve">Cleaning wipes + trash bags</t>
  </si>
  <si>
    <t xml:space="preserve">Warm</t>
  </si>
  <si>
    <t xml:space="preserve">Email within 48 hours + LinkedIn invite</t>
  </si>
  <si>
    <t xml:space="preserve">Water + snacks</t>
  </si>
  <si>
    <t xml:space="preserve">Cold</t>
  </si>
  <si>
    <t xml:space="preserve">Add to newsletter (with permission)</t>
  </si>
  <si>
    <t xml:space="preserve">Comfortable shoes (trust me)</t>
  </si>
  <si>
    <t xml:space="preserve">Everyone</t>
  </si>
  <si>
    <t xml:space="preserve">Thank-you note referencing your conversation</t>
  </si>
  <si>
    <t xml:space="preserve">Branded shirts</t>
  </si>
  <si>
    <t xml:space="preserve">Exhibitor manual + shipping labels</t>
  </si>
  <si>
    <t xml:space="preserve">First aid kit + mints</t>
  </si>
  <si>
    <t xml:space="preserve">Return shipping labels</t>
  </si>
  <si>
    <t xml:space="preserve">Still to pack:</t>
  </si>
  <si>
    <t xml:space="preserve">SHOW NOTES</t>
  </si>
  <si>
    <t xml:space="preserve">Note (what worked, what didn't, who we met, ideas for next year)</t>
  </si>
  <si>
    <t xml:space="preserve">Event Calendar &amp; Budget</t>
  </si>
  <si>
    <t xml:space="preserve">Every show, sponsorship and event for the year in one list: what it costs, what it brought in, and whether it's worth doing again.</t>
  </si>
  <si>
    <t xml:space="preserve">Return on spend = (revenue - cost) ÷ cost. Uses actual spend when you have it, otherwise the estimate. Revenue takes time to show up after events, so update it every quarter.</t>
  </si>
  <si>
    <t xml:space="preserve">Event</t>
  </si>
  <si>
    <t xml:space="preserve">Start date</t>
  </si>
  <si>
    <t xml:space="preserve">Type</t>
  </si>
  <si>
    <t xml:space="preserve">Travel &amp; other</t>
  </si>
  <si>
    <t xml:space="preserve">Total estimated</t>
  </si>
  <si>
    <t xml:space="preserve">Actual spent</t>
  </si>
  <si>
    <t xml:space="preserve">Leads</t>
  </si>
  <si>
    <t xml:space="preserve">New customers</t>
  </si>
  <si>
    <t xml:space="preserve">Revenue</t>
  </si>
  <si>
    <t xml:space="preserve">Return on spend</t>
  </si>
  <si>
    <t xml:space="preserve">Go again?</t>
  </si>
  <si>
    <t xml:space="preserve">Chamber annual expo</t>
  </si>
  <si>
    <t xml:space="preserve">https://</t>
  </si>
  <si>
    <t xml:space="preserve">Trade show</t>
  </si>
  <si>
    <t xml:space="preserve">Yes</t>
  </si>
  <si>
    <t xml:space="preserve">Great local turnout</t>
  </si>
  <si>
    <t xml:space="preserve">Booked</t>
  </si>
  <si>
    <t xml:space="preserve">See the Trade Show &amp; Event tab</t>
  </si>
  <si>
    <t xml:space="preserve">Industry association conference</t>
  </si>
  <si>
    <t xml:space="preserve">Maybe (with changes)</t>
  </si>
  <si>
    <t xml:space="preserve">Booth location was bad. Ask for a corner.</t>
  </si>
  <si>
    <t xml:space="preserve">Golf outing sponsorship</t>
  </si>
  <si>
    <t xml:space="preserve">Sponsorship</t>
  </si>
  <si>
    <t xml:space="preserve">Relationships &gt; booth. Play, don't sell.</t>
  </si>
  <si>
    <t xml:space="preserve">Neighborhood fall festival</t>
  </si>
  <si>
    <t xml:space="preserve">Community</t>
  </si>
  <si>
    <t xml:space="preserve">Kids game was the hook</t>
  </si>
  <si>
    <t xml:space="preserve">Lunch-and-learn workshop (hosted)</t>
  </si>
  <si>
    <t xml:space="preserve">Hosted event</t>
  </si>
  <si>
    <t xml:space="preserve">Planned</t>
  </si>
  <si>
    <t xml:space="preserve">Teach one thing really well</t>
  </si>
  <si>
    <t xml:space="preserve">Holiday networking mixer</t>
  </si>
  <si>
    <t xml:space="preserve">Networking</t>
  </si>
  <si>
    <t xml:space="preserve">Considering</t>
  </si>
  <si>
    <t xml:space="preserve">Totals</t>
  </si>
  <si>
    <t xml:space="preserve">ESTIMATED EVENT SPEND BY MONTH</t>
  </si>
  <si>
    <t xml:space="preserve">Month</t>
  </si>
  <si>
    <t xml:space="preserve">Year:</t>
  </si>
  <si>
    <t xml:space="preserve">Estimated spend</t>
  </si>
  <si>
    <t xml:space="preserve">Events</t>
  </si>
  <si>
    <t xml:space="preserve">Feeding the Marketing Schedule &amp; Budget template? Copy each event's total into your Campaign Calendar with the Events &amp; sponsorships category.</t>
  </si>
  <si>
    <t xml:space="preserve">Event ROI Calculator</t>
  </si>
  <si>
    <t xml:space="preserve">Should we do this show? Run the numbers before you sign the booth contract.</t>
  </si>
  <si>
    <t xml:space="preserve">WHAT A CUSTOMER IS WORTH</t>
  </si>
  <si>
    <t xml:space="preserve">Average monthly value of a customer</t>
  </si>
  <si>
    <t xml:space="preserve">What a typical customer pays you per month (or yearly value ÷ 12).</t>
  </si>
  <si>
    <t xml:space="preserve">Average length of the relationship (months)</t>
  </si>
  <si>
    <t xml:space="preserve">Lifetime value of a customer</t>
  </si>
  <si>
    <t xml:space="preserve">Gross margin</t>
  </si>
  <si>
    <t xml:space="preserve">What you keep after the cost of delivering the work. Judge events on profit, not just revenue.</t>
  </si>
  <si>
    <t xml:space="preserve">Lifetime profit from a customer</t>
  </si>
  <si>
    <t xml:space="preserve">THE EVENT</t>
  </si>
  <si>
    <t xml:space="preserve">Total event cost</t>
  </si>
  <si>
    <t xml:space="preserve">Booth, promotion, swag, travel, shipping. The Trade Show &amp; Event tab budget adds this up for you.</t>
  </si>
  <si>
    <t xml:space="preserve">Pull total from the Trade Show &amp; Event tab instead?</t>
  </si>
  <si>
    <t xml:space="preserve">Cost used below</t>
  </si>
  <si>
    <t xml:space="preserve">SCENARIOS</t>
  </si>
  <si>
    <t xml:space="preserve">Worst case</t>
  </si>
  <si>
    <t xml:space="preserve">Expected</t>
  </si>
  <si>
    <t xml:space="preserve">Best case</t>
  </si>
  <si>
    <t xml:space="preserve">Lead-to-customer rate</t>
  </si>
  <si>
    <t xml:space="preserve">First-year revenue</t>
  </si>
  <si>
    <t xml:space="preserve">Lifetime revenue</t>
  </si>
  <si>
    <t xml:space="preserve">Lifetime profit</t>
  </si>
  <si>
    <t xml:space="preserve">Cost per new customer</t>
  </si>
  <si>
    <t xml:space="preserve">ROI (lifetime profit vs. cost)</t>
  </si>
  <si>
    <t xml:space="preserve">BREAK-EVEN</t>
  </si>
  <si>
    <t xml:space="preserve">Customers you need to break even</t>
  </si>
  <si>
    <t xml:space="preserve">Leads you need (at the expected close rate)</t>
  </si>
  <si>
    <t xml:space="preserve">The verdict</t>
  </si>
  <si>
    <t xml:space="preserve">Lifetime numbers take time to show up. Track the real results on the Event Calendar &amp; Budget tab and check back in 6 to 12 months.</t>
  </si>
  <si>
    <t xml:space="preserve">For everything else: office moves, new service launches, rebrands, hiring pushes. Rename the phases and tasks to fit.</t>
  </si>
  <si>
    <t xml:space="preserve">[Project name]</t>
  </si>
  <si>
    <t xml:space="preserve">[Project lead]</t>
  </si>
  <si>
    <t xml:space="preserve">[What does success look like?]</t>
  </si>
  <si>
    <t xml:space="preserve">Plan</t>
  </si>
  <si>
    <t xml:space="preserve">Define the goal and what "done" looks like (Project Brief)</t>
  </si>
  <si>
    <t xml:space="preserve">List every task (use the AI prompt on the AI &amp; Tools tab)</t>
  </si>
  <si>
    <t xml:space="preserve">Assign owners, days and dependencies</t>
  </si>
  <si>
    <t xml:space="preserve">Do</t>
  </si>
  <si>
    <t xml:space="preserve">Phase 1: [name it]</t>
  </si>
  <si>
    <t xml:space="preserve">[Owner]</t>
  </si>
  <si>
    <t xml:space="preserve">Phase 2: [name it]</t>
  </si>
  <si>
    <t xml:space="preserve">Weekly check-in (15 minutes, same day every week)</t>
  </si>
  <si>
    <t xml:space="preserve">Review</t>
  </si>
  <si>
    <t xml:space="preserve">Review + feedback</t>
  </si>
  <si>
    <t xml:space="preserve">Final changes</t>
  </si>
  <si>
    <t xml:space="preserve">Launch / deliver</t>
  </si>
  <si>
    <t xml:space="preserve">Wrap-up: what worked, what didn't, what we'd change</t>
  </si>
  <si>
    <t xml:space="preserve">AI &amp; Tools</t>
  </si>
  <si>
    <t xml:space="preserve">Let AI build the first draft of your plan, then let the right tools keep everyone on track.</t>
  </si>
  <si>
    <t xml:space="preserve">Use it to...</t>
  </si>
  <si>
    <t xml:space="preserve">Prompt (copy and paste into Claude, ChatGPT, Gemini or Copilot)</t>
  </si>
  <si>
    <t xml:space="preserve">Pro tip</t>
  </si>
  <si>
    <t xml:space="preserve">Build the task list</t>
  </si>
  <si>
    <t xml:space="preserve">Act as an experienced project manager. I'm planning a [website build / trade show / campaign / other] for [business]. Goal: [goal]. Deadline: [date]. Team: [names and roles]. Budget: [$]. Give me every task, grouped by phase, with an owner role, a realistic number of days, and which task each one depends on. Format it as a table with columns: Phase, Task, Owner, Start offset (days from kickoff), Days, Depends on #.</t>
  </si>
  <si>
    <t xml:space="preserve">Paste the table straight into a project tab. Then cut anything that doesn't matter.</t>
  </si>
  <si>
    <t xml:space="preserve">Sanity-check the timeline</t>
  </si>
  <si>
    <t xml:space="preserve">Here's my project plan: [paste]. What did I forget? Where is the timeline unrealistic? Which tasks are most likely to slip, and what should I do now to protect the deadline?</t>
  </si>
  <si>
    <t xml:space="preserve">Run this before you share the plan with anyone.</t>
  </si>
  <si>
    <t xml:space="preserve">Find the risks</t>
  </si>
  <si>
    <t xml:space="preserve">For this project: [describe], list the 10 biggest risks. For each, rate how likely and how bad (low, medium, high) and give one specific thing I can do this week to reduce it.</t>
  </si>
  <si>
    <t xml:space="preserve">Copy the top 3 into the Project Brief.</t>
  </si>
  <si>
    <t xml:space="preserve">Write the weekly update</t>
  </si>
  <si>
    <t xml:space="preserve">Here's this week's task list with statuses: [paste rows]. Write a 5-bullet update for my team and boss: what got done, what's next, what's stuck, decisions I need, and risks. Plain English, no fluff.</t>
  </si>
  <si>
    <t xml:space="preserve">Same day, same time, every week. Consistency builds trust.</t>
  </si>
  <si>
    <t xml:space="preserve">Turn meeting notes into tasks</t>
  </si>
  <si>
    <t xml:space="preserve">Here are my meeting notes: [paste or upload the transcript]. Pull out every action item with an owner and a due date. Flag anything that was discussed but never assigned.</t>
  </si>
  <si>
    <t xml:space="preserve">Get permission before you record or use an AI note-taker.</t>
  </si>
  <si>
    <t xml:space="preserve">Plan a trade show</t>
  </si>
  <si>
    <t xml:space="preserve">I'm exhibiting at [show] on [dates] in [city]. My audience: [who]. Goal: [leads/meetings]. Booth size: [size]. Give me 5 booth hook ideas that stop people walking by, a 30-second pitch for my staff, 3 pre-show email subject lines, and a 48-hour follow-up email.</t>
  </si>
  <si>
    <t xml:space="preserve">The hook matters more than the booth. Ask any farting pickle.</t>
  </si>
  <si>
    <t xml:space="preserve">Build a website launch checklist</t>
  </si>
  <si>
    <t xml:space="preserve">My website runs on [WordPress / Squarespace / Wix / Shopify]. Give me a pre-launch and post-launch checklist specific to that platform: QA, SEO, tracking, redirects, speed, security and accessibility.</t>
  </si>
  <si>
    <t xml:space="preserve">Add anything new to the Launch Checklist on the Website tab.</t>
  </si>
  <si>
    <t xml:space="preserve">Run a post-mortem</t>
  </si>
  <si>
    <t xml:space="preserve">Project: [name]. Planned: [dates, budget, goal]. Actual: [dates, budget, results]. Here's what happened: [notes]. Help me write a post-mortem: what worked, what didn't, root causes, and 5 things we'll do differently next time.</t>
  </si>
  <si>
    <t xml:space="preserve">Save it in the Notes or the Show Notes so next year's plan starts smarter.</t>
  </si>
  <si>
    <t xml:space="preserve">TOOLS THAT PAIR WITH THIS WORKBOOK</t>
  </si>
  <si>
    <t xml:space="preserve">Project boards</t>
  </si>
  <si>
    <t xml:space="preserve">Trello, Asana, Monday.com, ClickUp, Microsoft Planner or Notion. Pick one. Not three.</t>
  </si>
  <si>
    <t xml:space="preserve">A simple board setup</t>
  </si>
  <si>
    <t xml:space="preserve">Lists: Backlog &gt; This Week &gt; Doing &gt; Waiting on Someone &gt; Review &gt; Done. One card per task, one owner per card, a due date on every card.</t>
  </si>
  <si>
    <t xml:space="preserve">Files</t>
  </si>
  <si>
    <t xml:space="preserve">One shared folder per project: 01 Brief, 02 Content, 03 Design, 04 Final, 05 Results. Link files in the Notes column instead of emailing them.</t>
  </si>
  <si>
    <t xml:space="preserve">Communication</t>
  </si>
  <si>
    <t xml:space="preserve">One Slack or Teams channel per big project. Decisions get written down there, not in hallway conversations.</t>
  </si>
  <si>
    <t xml:space="preserve">Meeting notes</t>
  </si>
  <si>
    <t xml:space="preserve">AI note-takers (Zoom AI Companion, Microsoft Teams Copilot, Otter, Fathom) turn calls into task lists. Ask before you record.</t>
  </si>
  <si>
    <t xml:space="preserve">Event lead capture</t>
  </si>
  <si>
    <t xml:space="preserve">Most shows offer a badge-scanning app. A simple form on a tablet that feeds your CRM works too.</t>
  </si>
  <si>
    <t xml:space="preserve">When to graduate from this spreadsheet</t>
  </si>
  <si>
    <t xml:space="preserve">More than 3 or 4 people working on it, more than about 75 tasks, or people need reminders and notifications. Use this workbook to plan, then run the day-to-day in a project board.</t>
  </si>
</sst>
</file>

<file path=xl/styles.xml><?xml version="1.0" encoding="utf-8"?>
<styleSheet xmlns="http://schemas.openxmlformats.org/spreadsheetml/2006/main">
  <numFmts count="13">
    <numFmt numFmtId="164" formatCode="General"/>
    <numFmt numFmtId="165" formatCode="mmm\ d&quot;, &quot;yyyy"/>
    <numFmt numFmtId="166" formatCode="0%;\(0%\);\-"/>
    <numFmt numFmtId="167" formatCode="0"/>
    <numFmt numFmtId="168" formatCode="\$#,##0;&quot;($&quot;#,##0\);\-"/>
    <numFmt numFmtId="169" formatCode="0%"/>
    <numFmt numFmtId="170" formatCode="m/d"/>
    <numFmt numFmtId="171" formatCode="General"/>
    <numFmt numFmtId="172" formatCode="mmm\ d"/>
    <numFmt numFmtId="173" formatCode="ddd\ mmm\ d"/>
    <numFmt numFmtId="174" formatCode="#,##0"/>
    <numFmt numFmtId="175" formatCode="mmm"/>
    <numFmt numFmtId="176" formatCode="0.0"/>
  </numFmts>
  <fonts count="27">
    <font>
      <sz val="11"/>
      <color theme="1"/>
      <name val="Calibri"/>
      <family val="2"/>
      <charset val="1"/>
    </font>
    <font>
      <sz val="10"/>
      <name val="Arial"/>
      <family val="0"/>
    </font>
    <font>
      <sz val="10"/>
      <name val="Arial"/>
      <family val="0"/>
    </font>
    <font>
      <sz val="10"/>
      <name val="Arial"/>
      <family val="0"/>
    </font>
    <font>
      <b val="true"/>
      <sz val="9"/>
      <color rgb="FF6B6B6B"/>
      <name val="Arial"/>
      <family val="0"/>
      <charset val="1"/>
    </font>
    <font>
      <b val="true"/>
      <sz val="22"/>
      <color rgb="FF181818"/>
      <name val="Arial"/>
      <family val="0"/>
      <charset val="1"/>
    </font>
    <font>
      <sz val="12"/>
      <color rgb="FF3A3A3A"/>
      <name val="Arial"/>
      <family val="0"/>
      <charset val="1"/>
    </font>
    <font>
      <sz val="10"/>
      <color rgb="FF3A3A3A"/>
      <name val="Arial"/>
      <family val="0"/>
      <charset val="1"/>
    </font>
    <font>
      <b val="true"/>
      <sz val="10"/>
      <color rgb="FF181818"/>
      <name val="Arial"/>
      <family val="0"/>
      <charset val="1"/>
    </font>
    <font>
      <sz val="8"/>
      <color rgb="FF8DC640"/>
      <name val="Arial"/>
      <family val="0"/>
      <charset val="1"/>
    </font>
    <font>
      <sz val="10"/>
      <color rgb="FF181818"/>
      <name val="Arial"/>
      <family val="0"/>
      <charset val="1"/>
    </font>
    <font>
      <b val="true"/>
      <sz val="10"/>
      <color rgb="FF0000FF"/>
      <name val="Arial"/>
      <family val="0"/>
      <charset val="1"/>
    </font>
    <font>
      <b val="true"/>
      <sz val="9"/>
      <color rgb="FF181818"/>
      <name val="Arial"/>
      <family val="0"/>
      <charset val="1"/>
    </font>
    <font>
      <b val="true"/>
      <sz val="12"/>
      <color rgb="FF181818"/>
      <name val="Arial"/>
      <family val="0"/>
      <charset val="1"/>
    </font>
    <font>
      <i val="true"/>
      <sz val="9"/>
      <color rgb="FF6B6B6B"/>
      <name val="Arial"/>
      <family val="0"/>
      <charset val="1"/>
    </font>
    <font>
      <b val="true"/>
      <sz val="20"/>
      <color rgb="FF181818"/>
      <name val="Arial"/>
      <family val="0"/>
      <charset val="1"/>
    </font>
    <font>
      <sz val="10"/>
      <color rgb="FF6B6B6B"/>
      <name val="Arial"/>
      <family val="0"/>
      <charset val="1"/>
    </font>
    <font>
      <b val="true"/>
      <sz val="10"/>
      <color rgb="FFFFFFFF"/>
      <name val="Arial"/>
      <family val="0"/>
      <charset val="1"/>
    </font>
    <font>
      <b val="true"/>
      <sz val="18"/>
      <color rgb="FF000000"/>
      <name val="Calibri"/>
      <family val="2"/>
    </font>
    <font>
      <sz val="10"/>
      <color rgb="FF000000"/>
      <name val="Calibri"/>
      <family val="2"/>
    </font>
    <font>
      <b val="true"/>
      <sz val="18"/>
      <color rgb="FF181818"/>
      <name val="Arial"/>
      <family val="0"/>
      <charset val="1"/>
    </font>
    <font>
      <i val="true"/>
      <sz val="10"/>
      <color rgb="FF6B6B6B"/>
      <name val="Arial"/>
      <family val="0"/>
      <charset val="1"/>
    </font>
    <font>
      <sz val="10"/>
      <color rgb="FF0000FF"/>
      <name val="Arial"/>
      <family val="0"/>
      <charset val="1"/>
    </font>
    <font>
      <b val="true"/>
      <sz val="11"/>
      <color rgb="FF181818"/>
      <name val="Arial"/>
      <family val="0"/>
      <charset val="1"/>
    </font>
    <font>
      <b val="true"/>
      <sz val="8"/>
      <color rgb="FF181818"/>
      <name val="Arial"/>
      <family val="0"/>
      <charset val="1"/>
    </font>
    <font>
      <b val="true"/>
      <sz val="7"/>
      <color rgb="FFFFFFFF"/>
      <name val="Arial"/>
      <family val="0"/>
      <charset val="1"/>
    </font>
    <font>
      <sz val="9"/>
      <color rgb="FF6B6B6B"/>
      <name val="Arial"/>
      <family val="0"/>
      <charset val="1"/>
    </font>
  </fonts>
  <fills count="7">
    <fill>
      <patternFill patternType="none"/>
    </fill>
    <fill>
      <patternFill patternType="gray125"/>
    </fill>
    <fill>
      <patternFill patternType="solid">
        <fgColor rgb="FF8DC640"/>
        <bgColor rgb="FF969696"/>
      </patternFill>
    </fill>
    <fill>
      <patternFill patternType="solid">
        <fgColor rgb="FFE9F4DA"/>
        <bgColor rgb="FFF6F6F5"/>
      </patternFill>
    </fill>
    <fill>
      <patternFill patternType="solid">
        <fgColor rgb="FFFFF2B3"/>
        <bgColor rgb="FFFFFF99"/>
      </patternFill>
    </fill>
    <fill>
      <patternFill patternType="solid">
        <fgColor rgb="FF3A3A3A"/>
        <bgColor rgb="FF333300"/>
      </patternFill>
    </fill>
    <fill>
      <patternFill patternType="solid">
        <fgColor rgb="FFF6F6F5"/>
        <bgColor rgb="FFFFFFFF"/>
      </patternFill>
    </fill>
  </fills>
  <borders count="3">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thin">
        <color rgb="FFD9D9D9"/>
      </left>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right" vertical="center" textRotation="0" wrapText="fals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4" fontId="11" fillId="3"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12" fillId="2" borderId="0" xfId="0" applyFont="true" applyBorder="false" applyAlignment="true" applyProtection="false">
      <alignment horizontal="general" vertical="center" textRotation="0" wrapText="true" indent="0" shrinkToFit="false"/>
      <protection locked="true" hidden="false"/>
    </xf>
    <xf numFmtId="164" fontId="13" fillId="2"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fals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false" indent="0" shrinkToFit="false"/>
      <protection locked="true" hidden="false"/>
    </xf>
    <xf numFmtId="165" fontId="10" fillId="0" borderId="1" xfId="0" applyFont="true" applyBorder="true" applyAlignment="true" applyProtection="false">
      <alignment horizontal="general" vertical="top" textRotation="0" wrapText="false" indent="0" shrinkToFit="false"/>
      <protection locked="true" hidden="false"/>
    </xf>
    <xf numFmtId="166" fontId="8" fillId="0" borderId="1" xfId="0" applyFont="true" applyBorder="true" applyAlignment="true" applyProtection="false">
      <alignment horizontal="general" vertical="top" textRotation="0" wrapText="false" indent="0" shrinkToFit="false"/>
      <protection locked="true" hidden="false"/>
    </xf>
    <xf numFmtId="167" fontId="10" fillId="0" borderId="1" xfId="0" applyFont="true" applyBorder="true" applyAlignment="true" applyProtection="false">
      <alignment horizontal="general" vertical="top" textRotation="0" wrapText="false" indent="0" shrinkToFit="false"/>
      <protection locked="true" hidden="false"/>
    </xf>
    <xf numFmtId="167" fontId="8" fillId="0" borderId="1" xfId="0" applyFont="true" applyBorder="true" applyAlignment="true" applyProtection="false">
      <alignment horizontal="general" vertical="top"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8" fillId="0" borderId="1" xfId="0" applyFont="true" applyBorder="true" applyAlignment="true" applyProtection="false">
      <alignment horizontal="general" vertical="top"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22" fillId="3" borderId="2" xfId="0" applyFont="true" applyBorder="true" applyAlignment="true" applyProtection="false">
      <alignment horizontal="general" vertical="top" textRotation="0" wrapText="tru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true" applyAlignment="false" applyProtection="false">
      <alignment horizontal="general" vertical="bottom" textRotation="0" wrapText="false" indent="0" shrinkToFit="false"/>
      <protection locked="true" hidden="false"/>
    </xf>
    <xf numFmtId="164" fontId="22" fillId="3" borderId="1" xfId="0" applyFont="true" applyBorder="true" applyAlignment="true" applyProtection="false">
      <alignment horizontal="general" vertical="top" textRotation="0" wrapText="true" indent="0" shrinkToFit="false"/>
      <protection locked="true" hidden="false"/>
    </xf>
    <xf numFmtId="164" fontId="22" fillId="3" borderId="1" xfId="0" applyFont="true" applyBorder="true" applyAlignment="true" applyProtection="false">
      <alignment horizontal="general" vertical="top"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6" fontId="23" fillId="6" borderId="2" xfId="0" applyFont="true" applyBorder="true" applyAlignment="true" applyProtection="false">
      <alignment horizontal="general" vertical="top" textRotation="0" wrapText="false" indent="0" shrinkToFit="false"/>
      <protection locked="true" hidden="false"/>
    </xf>
    <xf numFmtId="164" fontId="23" fillId="6" borderId="2" xfId="0" applyFont="true" applyBorder="true" applyAlignment="true" applyProtection="false">
      <alignment horizontal="general" vertical="top" textRotation="0" wrapText="false" indent="0" shrinkToFit="false"/>
      <protection locked="true" hidden="false"/>
    </xf>
    <xf numFmtId="165" fontId="23" fillId="6" borderId="2" xfId="0" applyFont="true" applyBorder="true" applyAlignment="true" applyProtection="false">
      <alignment horizontal="general" vertical="top" textRotation="0" wrapText="false" indent="0" shrinkToFit="false"/>
      <protection locked="true" hidden="false"/>
    </xf>
    <xf numFmtId="167" fontId="23" fillId="6" borderId="2" xfId="0" applyFont="true" applyBorder="true" applyAlignment="true" applyProtection="false">
      <alignment horizontal="general" vertical="top" textRotation="0" wrapText="false" indent="0" shrinkToFit="false"/>
      <protection locked="true" hidden="false"/>
    </xf>
    <xf numFmtId="165" fontId="22" fillId="3" borderId="1" xfId="0" applyFont="true" applyBorder="true" applyAlignment="true" applyProtection="false">
      <alignment horizontal="general" vertical="top" textRotation="0" wrapText="false" indent="0" shrinkToFit="false"/>
      <protection locked="true" hidden="false"/>
    </xf>
    <xf numFmtId="168" fontId="22" fillId="3" borderId="1" xfId="0" applyFont="true" applyBorder="true" applyAlignment="true" applyProtection="false">
      <alignment horizontal="general" vertical="top"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70" fontId="25" fillId="5" borderId="0" xfId="0" applyFont="true" applyBorder="false" applyAlignment="true" applyProtection="false">
      <alignment horizontal="center" vertical="center" textRotation="90" wrapText="false" indent="0" shrinkToFit="false"/>
      <protection locked="true" hidden="false"/>
    </xf>
    <xf numFmtId="171" fontId="26" fillId="0" borderId="1" xfId="0" applyFont="true" applyBorder="true" applyAlignment="true" applyProtection="false">
      <alignment horizontal="general" vertical="top" textRotation="0" wrapText="false" indent="0" shrinkToFit="false"/>
      <protection locked="true" hidden="false"/>
    </xf>
    <xf numFmtId="167" fontId="22" fillId="3" borderId="1" xfId="0" applyFont="true" applyBorder="true" applyAlignment="true" applyProtection="false">
      <alignment horizontal="general" vertical="top" textRotation="0" wrapText="false" indent="0" shrinkToFit="false"/>
      <protection locked="true" hidden="false"/>
    </xf>
    <xf numFmtId="172" fontId="22" fillId="3" borderId="1" xfId="0" applyFont="true" applyBorder="true" applyAlignment="true" applyProtection="false">
      <alignment horizontal="general" vertical="top" textRotation="0" wrapText="false" indent="0" shrinkToFit="false"/>
      <protection locked="true" hidden="false"/>
    </xf>
    <xf numFmtId="173" fontId="10" fillId="0" borderId="1" xfId="0" applyFont="true" applyBorder="true" applyAlignment="true" applyProtection="false">
      <alignment horizontal="general" vertical="top" textRotation="0" wrapText="false" indent="0" shrinkToFit="false"/>
      <protection locked="true" hidden="false"/>
    </xf>
    <xf numFmtId="169" fontId="22" fillId="3" borderId="1" xfId="0" applyFont="true" applyBorder="true" applyAlignment="true" applyProtection="false">
      <alignment horizontal="general" vertical="top" textRotation="0" wrapText="false" indent="0" shrinkToFit="false"/>
      <protection locked="true" hidden="false"/>
    </xf>
    <xf numFmtId="164" fontId="12" fillId="0" borderId="1" xfId="0" applyFont="true" applyBorder="true" applyAlignment="true" applyProtection="false">
      <alignment horizontal="general" vertical="top" textRotation="0" wrapText="false" indent="0" shrinkToFit="false"/>
      <protection locked="true" hidden="false"/>
    </xf>
    <xf numFmtId="164" fontId="17" fillId="5" borderId="0" xfId="0" applyFont="true" applyBorder="true" applyAlignment="true" applyProtection="false">
      <alignment horizontal="left" vertical="center" textRotation="0" wrapText="true" indent="0" shrinkToFit="false"/>
      <protection locked="true" hidden="false"/>
    </xf>
    <xf numFmtId="164" fontId="22" fillId="3" borderId="2" xfId="0" applyFont="true" applyBorder="true" applyAlignment="true" applyProtection="false">
      <alignment horizontal="general" vertical="top" textRotation="0" wrapText="false" indent="0" shrinkToFit="false"/>
      <protection locked="true" hidden="false"/>
    </xf>
    <xf numFmtId="166" fontId="10" fillId="0" borderId="1" xfId="0" applyFont="true" applyBorder="true" applyAlignment="true" applyProtection="false">
      <alignment horizontal="general" vertical="top" textRotation="0" wrapText="false" indent="0" shrinkToFit="false"/>
      <protection locked="true" hidden="false"/>
    </xf>
    <xf numFmtId="164" fontId="10" fillId="0" borderId="2" xfId="0" applyFont="true" applyBorder="true" applyAlignment="true" applyProtection="false">
      <alignment horizontal="general" vertical="top" textRotation="0" wrapText="false" indent="0" shrinkToFit="false"/>
      <protection locked="true" hidden="false"/>
    </xf>
    <xf numFmtId="172" fontId="10" fillId="0" borderId="1" xfId="0" applyFont="true" applyBorder="true" applyAlignment="true" applyProtection="false">
      <alignment horizontal="general" vertical="top" textRotation="0" wrapText="false" indent="0" shrinkToFit="false"/>
      <protection locked="true" hidden="false"/>
    </xf>
    <xf numFmtId="168" fontId="22" fillId="3" borderId="2" xfId="0" applyFont="true" applyBorder="true" applyAlignment="true" applyProtection="false">
      <alignment horizontal="general" vertical="top" textRotation="0" wrapText="false" indent="0" shrinkToFit="false"/>
      <protection locked="true" hidden="false"/>
    </xf>
    <xf numFmtId="168" fontId="8" fillId="0" borderId="2" xfId="0" applyFont="true" applyBorder="true" applyAlignment="true" applyProtection="false">
      <alignment horizontal="general" vertical="top" textRotation="0" wrapText="false" indent="0" shrinkToFit="false"/>
      <protection locked="true" hidden="false"/>
    </xf>
    <xf numFmtId="166" fontId="8" fillId="0" borderId="2" xfId="0" applyFont="true" applyBorder="true" applyAlignment="true" applyProtection="false">
      <alignment horizontal="general" vertical="top" textRotation="0" wrapText="false" indent="0" shrinkToFit="false"/>
      <protection locked="true" hidden="false"/>
    </xf>
    <xf numFmtId="174" fontId="22" fillId="3" borderId="1" xfId="0" applyFont="true" applyBorder="true" applyAlignment="true" applyProtection="false">
      <alignment horizontal="general" vertical="top" textRotation="0" wrapText="false" indent="0" shrinkToFit="false"/>
      <protection locked="true" hidden="false"/>
    </xf>
    <xf numFmtId="168" fontId="10" fillId="0" borderId="1" xfId="0" applyFont="true" applyBorder="true" applyAlignment="true" applyProtection="false">
      <alignment horizontal="general" vertical="top" textRotation="0" wrapText="false" indent="0" shrinkToFit="false"/>
      <protection locked="true" hidden="false"/>
    </xf>
    <xf numFmtId="168" fontId="8" fillId="6" borderId="1" xfId="0" applyFont="true" applyBorder="true" applyAlignment="true" applyProtection="false">
      <alignment horizontal="general" vertical="top" textRotation="0" wrapText="false" indent="0" shrinkToFit="false"/>
      <protection locked="true" hidden="false"/>
    </xf>
    <xf numFmtId="167" fontId="8" fillId="6" borderId="1" xfId="0" applyFont="true" applyBorder="true" applyAlignment="true" applyProtection="false">
      <alignment horizontal="general" vertical="top"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75" fontId="8" fillId="0" borderId="0" xfId="0" applyFont="true" applyBorder="false" applyAlignment="true" applyProtection="false">
      <alignment horizontal="center" vertical="bottom" textRotation="0" wrapText="false" indent="0" shrinkToFit="false"/>
      <protection locked="true" hidden="false"/>
    </xf>
    <xf numFmtId="164" fontId="17" fillId="5" borderId="0" xfId="0" applyFont="true" applyBorder="false" applyAlignment="true" applyProtection="false">
      <alignment horizontal="left" vertical="bottom" textRotation="0" wrapText="false" indent="0" shrinkToFit="false"/>
      <protection locked="true" hidden="false"/>
    </xf>
    <xf numFmtId="164" fontId="17" fillId="5" borderId="0" xfId="0" applyFont="true" applyBorder="false" applyAlignment="true" applyProtection="false">
      <alignment horizontal="center" vertical="bottom" textRotation="0" wrapText="false" indent="0" shrinkToFit="false"/>
      <protection locked="true" hidden="false"/>
    </xf>
    <xf numFmtId="176" fontId="10" fillId="0" borderId="1" xfId="0" applyFont="true" applyBorder="true" applyAlignment="true" applyProtection="false">
      <alignment horizontal="general" vertical="top" textRotation="0" wrapText="false" indent="0" shrinkToFit="false"/>
      <protection locked="true" hidden="false"/>
    </xf>
    <xf numFmtId="176" fontId="8" fillId="0" borderId="1" xfId="0" applyFont="true" applyBorder="true" applyAlignment="true" applyProtection="false">
      <alignment horizontal="general" vertical="top"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0" fillId="6"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64" fontId="23" fillId="2"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bgColor rgb="FFC6E5A1"/>
        </patternFill>
      </fill>
    </dxf>
    <dxf>
      <fill>
        <patternFill>
          <bgColor rgb="FFD9D9D9"/>
        </patternFill>
      </fill>
    </dxf>
    <dxf>
      <fill>
        <patternFill>
          <bgColor rgb="FFF8C9C4"/>
        </patternFill>
      </fill>
    </dxf>
    <dxf>
      <fill>
        <patternFill>
          <bgColor rgb="FFFFF2B3"/>
        </patternFill>
      </fill>
    </dxf>
    <dxf>
      <font>
        <name val="Arial"/>
        <charset val="1"/>
        <family val="0"/>
        <b val="1"/>
        <color rgb="FF8A1C12"/>
      </font>
      <fill>
        <patternFill>
          <bgColor rgb="FFF8C9C4"/>
        </patternFill>
      </fill>
    </dxf>
    <dxf>
      <fill>
        <patternFill>
          <bgColor rgb="FFBFBFBF"/>
        </patternFill>
      </fill>
    </dxf>
    <dxf>
      <fill>
        <patternFill>
          <bgColor rgb="FFE57373"/>
        </patternFill>
      </fill>
    </dxf>
    <dxf>
      <fill>
        <patternFill>
          <bgColor rgb="FFF2C94C"/>
        </patternFill>
      </fill>
    </dxf>
    <dxf>
      <fill>
        <patternFill>
          <bgColor rgb="FF8DC640"/>
        </patternFill>
      </fill>
    </dxf>
    <dxf>
      <font>
        <name val="Arial"/>
        <charset val="1"/>
        <family val="0"/>
        <b val="1"/>
        <color rgb="FF181818"/>
        <sz val="7"/>
      </font>
      <fill>
        <patternFill>
          <bgColor rgb="FFF2C94C"/>
        </patternFill>
      </fill>
    </dxf>
    <dxf>
      <fill>
        <patternFill>
          <bgColor rgb="FF3A3A3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2B3"/>
      <rgbColor rgb="FFF6F6F5"/>
      <rgbColor rgb="FF660066"/>
      <rgbColor rgb="FFE57373"/>
      <rgbColor rgb="FF0066CC"/>
      <rgbColor rgb="FFD9D9D9"/>
      <rgbColor rgb="FF000080"/>
      <rgbColor rgb="FFFF00FF"/>
      <rgbColor rgb="FFFFFF00"/>
      <rgbColor rgb="FF00FFFF"/>
      <rgbColor rgb="FF800080"/>
      <rgbColor rgb="FF800000"/>
      <rgbColor rgb="FF008080"/>
      <rgbColor rgb="FF0000FF"/>
      <rgbColor rgb="FF00CCFF"/>
      <rgbColor rgb="FFC6E5A1"/>
      <rgbColor rgb="FFE9F4DA"/>
      <rgbColor rgb="FFFFFF99"/>
      <rgbColor rgb="FF99CCFF"/>
      <rgbColor rgb="FFFF99CC"/>
      <rgbColor rgb="FFCC99FF"/>
      <rgbColor rgb="FFF8C9C4"/>
      <rgbColor rgb="FF3366FF"/>
      <rgbColor rgb="FF33CCCC"/>
      <rgbColor rgb="FF8DC640"/>
      <rgbColor rgb="FFF2C94C"/>
      <rgbColor rgb="FFFF9900"/>
      <rgbColor rgb="FFFF6600"/>
      <rgbColor rgb="FF6B6B6B"/>
      <rgbColor rgb="FF969696"/>
      <rgbColor rgb="FF003366"/>
      <rgbColor rgb="FF339966"/>
      <rgbColor rgb="FF181818"/>
      <rgbColor rgb="FF333300"/>
      <rgbColor rgb="FF8A1C12"/>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 complete by project</a:t>
            </a:r>
          </a:p>
        </c:rich>
      </c:tx>
      <c:overlay val="0"/>
      <c:spPr>
        <a:noFill/>
        <a:ln w="0">
          <a:noFill/>
        </a:ln>
      </c:spPr>
    </c:title>
    <c:autoTitleDeleted val="0"/>
    <c:plotArea>
      <c:barChart>
        <c:barDir val="bar"/>
        <c:grouping val="clustered"/>
        <c:varyColors val="0"/>
        <c:ser>
          <c:idx val="0"/>
          <c:order val="0"/>
          <c:tx>
            <c:strRef>
              <c:f>Overview!G6</c:f>
              <c:strCache>
                <c:ptCount val="1"/>
                <c:pt idx="0">
                  <c:v>% complete</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Overview!$B$7:$B$10</c:f>
              <c:strCache>
                <c:ptCount val="4"/>
                <c:pt idx="0">
                  <c:v>Website Project</c:v>
                </c:pt>
                <c:pt idx="1">
                  <c:v>Digital Campaign</c:v>
                </c:pt>
                <c:pt idx="2">
                  <c:v>Trade Show &amp; Event</c:v>
                </c:pt>
                <c:pt idx="3">
                  <c:v>Other Project</c:v>
                </c:pt>
              </c:strCache>
            </c:strRef>
          </c:cat>
          <c:val>
            <c:numRef>
              <c:f>Overview!$G$7:$G$10</c:f>
              <c:numCache>
                <c:formatCode>0%;\(0%\);\-</c:formatCode>
                <c:ptCount val="4"/>
                <c:pt idx="0">
                  <c:v>0.514193548387097</c:v>
                </c:pt>
                <c:pt idx="1">
                  <c:v>0.158108108108108</c:v>
                </c:pt>
                <c:pt idx="2">
                  <c:v>0.0876288659793814</c:v>
                </c:pt>
                <c:pt idx="3">
                  <c:v>0</c:v>
                </c:pt>
              </c:numCache>
            </c:numRef>
          </c:val>
        </c:ser>
        <c:gapWidth val="150"/>
        <c:overlap val="0"/>
        <c:axId val="77501823"/>
        <c:axId val="38085943"/>
      </c:barChart>
      <c:catAx>
        <c:axId val="7750182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8085943"/>
        <c:crosses val="autoZero"/>
        <c:auto val="1"/>
        <c:lblAlgn val="ctr"/>
        <c:lblOffset val="100"/>
        <c:noMultiLvlLbl val="0"/>
      </c:catAx>
      <c:valAx>
        <c:axId val="38085943"/>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50182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1</xdr:row>
      <xdr:rowOff>0</xdr:rowOff>
    </xdr:from>
    <xdr:to>
      <xdr:col>2</xdr:col>
      <xdr:colOff>1047240</xdr:colOff>
      <xdr:row>5</xdr:row>
      <xdr:rowOff>151920</xdr:rowOff>
    </xdr:to>
    <xdr:pic>
      <xdr:nvPicPr>
        <xdr:cNvPr id="0" name="Image 1" descr="Picture"/>
        <xdr:cNvPicPr/>
      </xdr:nvPicPr>
      <xdr:blipFill>
        <a:blip r:embed="rId1"/>
        <a:stretch/>
      </xdr:blipFill>
      <xdr:spPr>
        <a:xfrm>
          <a:off x="563760" y="190440"/>
          <a:ext cx="1047240" cy="914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14</xdr:row>
      <xdr:rowOff>70560</xdr:rowOff>
    </xdr:from>
    <xdr:to>
      <xdr:col>11</xdr:col>
      <xdr:colOff>943920</xdr:colOff>
      <xdr:row>25</xdr:row>
      <xdr:rowOff>134640</xdr:rowOff>
    </xdr:to>
    <xdr:graphicFrame>
      <xdr:nvGraphicFramePr>
        <xdr:cNvPr id="1" name="Chart 1"/>
        <xdr:cNvGraphicFramePr/>
      </xdr:nvGraphicFramePr>
      <xdr:xfrm>
        <a:off x="6555240" y="3390840"/>
        <a:ext cx="4679640" cy="21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0</xdr:colOff>
      <xdr:row>0</xdr:row>
      <xdr:rowOff>0</xdr:rowOff>
    </xdr:from>
    <xdr:to>
      <xdr:col>10</xdr:col>
      <xdr:colOff>761760</xdr:colOff>
      <xdr:row>2</xdr:row>
      <xdr:rowOff>165240</xdr:rowOff>
    </xdr:to>
    <xdr:pic>
      <xdr:nvPicPr>
        <xdr:cNvPr id="2" name="Image 2" descr="Picture"/>
        <xdr:cNvPicPr/>
      </xdr:nvPicPr>
      <xdr:blipFill>
        <a:blip r:embed="rId2"/>
        <a:stretch/>
      </xdr:blipFill>
      <xdr:spPr>
        <a:xfrm>
          <a:off x="9374400" y="0"/>
          <a:ext cx="761760" cy="666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C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1"/>
    </row>
    <row r="2" customFormat="false" ht="15" hidden="false" customHeight="false" outlineLevel="0" collapsed="false">
      <c r="C2" s="1"/>
    </row>
    <row r="3" customFormat="false" ht="15" hidden="false" customHeight="false" outlineLevel="0" collapsed="false">
      <c r="C3" s="1"/>
    </row>
    <row r="4" customFormat="false" ht="15" hidden="false" customHeight="false" outlineLevel="0" collapsed="false">
      <c r="C4" s="1"/>
    </row>
    <row r="5" customFormat="false" ht="15" hidden="false" customHeight="false" outlineLevel="0" collapsed="false">
      <c r="C5" s="1"/>
    </row>
    <row r="6" customFormat="false" ht="15" hidden="false" customHeight="false" outlineLevel="0" collapsed="false">
      <c r="C6" s="1"/>
    </row>
    <row r="7" customFormat="false" ht="15" hidden="false" customHeight="false" outlineLevel="0" collapsed="false">
      <c r="C7" s="2" t="s">
        <v>0</v>
      </c>
    </row>
    <row r="8" customFormat="false" ht="31.5" hidden="false" customHeight="true" outlineLevel="0" collapsed="false">
      <c r="C8" s="3" t="s">
        <v>1</v>
      </c>
    </row>
    <row r="9" customFormat="false" ht="36" hidden="false" customHeight="true" outlineLevel="0" collapsed="false">
      <c r="C9" s="4" t="s">
        <v>2</v>
      </c>
    </row>
    <row r="10" customFormat="false" ht="43.5" hidden="false" customHeight="true" outlineLevel="0" collapsed="false">
      <c r="C10" s="5" t="s">
        <v>3</v>
      </c>
    </row>
    <row r="11" customFormat="false" ht="15" hidden="false" customHeight="false" outlineLevel="0" collapsed="false">
      <c r="C11" s="1"/>
    </row>
    <row r="12" customFormat="false" ht="19.5" hidden="false" customHeight="true" outlineLevel="0" collapsed="false">
      <c r="B12" s="6"/>
      <c r="C12" s="7" t="s">
        <v>4</v>
      </c>
    </row>
    <row r="13" customFormat="false" ht="30" hidden="false" customHeight="true" outlineLevel="0" collapsed="false">
      <c r="B13" s="8" t="s">
        <v>5</v>
      </c>
      <c r="C13" s="5" t="s">
        <v>6</v>
      </c>
    </row>
    <row r="14" customFormat="false" ht="30" hidden="false" customHeight="true" outlineLevel="0" collapsed="false">
      <c r="B14" s="8" t="s">
        <v>5</v>
      </c>
      <c r="C14" s="5" t="s">
        <v>7</v>
      </c>
    </row>
    <row r="15" customFormat="false" ht="30" hidden="false" customHeight="true" outlineLevel="0" collapsed="false">
      <c r="B15" s="8" t="s">
        <v>5</v>
      </c>
      <c r="C15" s="5" t="s">
        <v>8</v>
      </c>
    </row>
    <row r="16" customFormat="false" ht="30" hidden="false" customHeight="true" outlineLevel="0" collapsed="false">
      <c r="B16" s="8" t="s">
        <v>5</v>
      </c>
      <c r="C16" s="5" t="s">
        <v>9</v>
      </c>
    </row>
    <row r="17" customFormat="false" ht="45.75" hidden="false" customHeight="true" outlineLevel="0" collapsed="false">
      <c r="B17" s="8" t="s">
        <v>5</v>
      </c>
      <c r="C17" s="5" t="s">
        <v>10</v>
      </c>
    </row>
    <row r="18" customFormat="false" ht="30" hidden="false" customHeight="true" outlineLevel="0" collapsed="false">
      <c r="B18" s="8" t="s">
        <v>5</v>
      </c>
      <c r="C18" s="5" t="s">
        <v>11</v>
      </c>
    </row>
    <row r="19" customFormat="false" ht="30" hidden="false" customHeight="true" outlineLevel="0" collapsed="false">
      <c r="B19" s="8" t="s">
        <v>5</v>
      </c>
      <c r="C19" s="5" t="s">
        <v>12</v>
      </c>
    </row>
    <row r="20" customFormat="false" ht="30" hidden="false" customHeight="true" outlineLevel="0" collapsed="false">
      <c r="B20" s="8" t="s">
        <v>5</v>
      </c>
      <c r="C20" s="5" t="s">
        <v>13</v>
      </c>
    </row>
    <row r="21" customFormat="false" ht="15" hidden="false" customHeight="false" outlineLevel="0" collapsed="false">
      <c r="C21" s="1"/>
    </row>
    <row r="22" customFormat="false" ht="19.5" hidden="false" customHeight="true" outlineLevel="0" collapsed="false">
      <c r="B22" s="6"/>
      <c r="C22" s="7" t="s">
        <v>14</v>
      </c>
    </row>
    <row r="23" customFormat="false" ht="30" hidden="false" customHeight="true" outlineLevel="0" collapsed="false">
      <c r="C23" s="9" t="s">
        <v>15</v>
      </c>
    </row>
    <row r="24" customFormat="false" ht="30" hidden="false" customHeight="true" outlineLevel="0" collapsed="false">
      <c r="C24" s="9" t="s">
        <v>16</v>
      </c>
    </row>
    <row r="25" customFormat="false" ht="30" hidden="false" customHeight="true" outlineLevel="0" collapsed="false">
      <c r="C25" s="9" t="s">
        <v>17</v>
      </c>
    </row>
    <row r="26" customFormat="false" ht="30" hidden="false" customHeight="true" outlineLevel="0" collapsed="false">
      <c r="C26" s="9" t="s">
        <v>18</v>
      </c>
    </row>
    <row r="27" customFormat="false" ht="15" hidden="false" customHeight="false" outlineLevel="0" collapsed="false">
      <c r="C27" s="1"/>
    </row>
    <row r="28" customFormat="false" ht="19.5" hidden="false" customHeight="true" outlineLevel="0" collapsed="false">
      <c r="B28" s="6"/>
      <c r="C28" s="7" t="s">
        <v>19</v>
      </c>
    </row>
    <row r="29" customFormat="false" ht="21.75" hidden="false" customHeight="true" outlineLevel="0" collapsed="false">
      <c r="C29" s="10" t="s">
        <v>20</v>
      </c>
    </row>
    <row r="30" customFormat="false" ht="33.75" hidden="false" customHeight="true" outlineLevel="0" collapsed="false">
      <c r="C30" s="11" t="s">
        <v>21</v>
      </c>
    </row>
    <row r="31" customFormat="false" ht="15" hidden="false" customHeight="false" outlineLevel="0" collapsed="false">
      <c r="C31" s="1"/>
    </row>
    <row r="32" customFormat="false" ht="15" hidden="false" customHeight="false" outlineLevel="0" collapsed="false">
      <c r="B32" s="6"/>
      <c r="C32" s="12" t="s">
        <v>22</v>
      </c>
    </row>
    <row r="33" customFormat="false" ht="27.75" hidden="false" customHeight="true" outlineLevel="0" collapsed="false">
      <c r="B33" s="6"/>
      <c r="C33" s="13" t="s">
        <v>23</v>
      </c>
    </row>
    <row r="34" customFormat="false" ht="15" hidden="false" customHeight="false" outlineLevel="0" collapsed="false">
      <c r="C34" s="1"/>
    </row>
    <row r="35" customFormat="false" ht="15" hidden="false" customHeight="false" outlineLevel="0" collapsed="false">
      <c r="C35" s="14" t="s">
        <v>24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2:L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2"/>
    <col collapsed="false" customWidth="true" hidden="false" outlineLevel="0" max="3" min="3" style="0" width="30"/>
    <col collapsed="false" customWidth="true" hidden="false" outlineLevel="0" max="6" min="4" style="0" width="13"/>
    <col collapsed="false" customWidth="true" hidden="false" outlineLevel="0" max="7" min="7" style="0" width="12"/>
    <col collapsed="false" customWidth="true" hidden="false" outlineLevel="0" max="9" min="8" style="0" width="9"/>
    <col collapsed="false" customWidth="true" hidden="false" outlineLevel="0" max="10" min="10" style="0" width="10"/>
    <col collapsed="false" customWidth="true" hidden="false" outlineLevel="0" max="11" min="11" style="0" width="13"/>
    <col collapsed="false" customWidth="true" hidden="false" outlineLevel="0" max="12" min="12" style="0" width="18"/>
  </cols>
  <sheetData>
    <row r="2" customFormat="false" ht="24.45" hidden="false" customHeight="false" outlineLevel="0" collapsed="false">
      <c r="B2" s="15" t="s">
        <v>25</v>
      </c>
    </row>
    <row r="3" customFormat="false" ht="15" hidden="false" customHeight="false" outlineLevel="0" collapsed="false">
      <c r="B3" s="16" t="s">
        <v>26</v>
      </c>
    </row>
    <row r="4" customFormat="false" ht="15" hidden="false" customHeight="false" outlineLevel="0" collapsed="false">
      <c r="B4" s="17" t="str">
        <f aca="true">"Today: "&amp;TEXT(TODAY(),"dddd, mmmm d, yyyy")</f>
        <v>Today: Wednesday, October 14, 2026</v>
      </c>
    </row>
    <row r="6" customFormat="false" ht="30" hidden="false" customHeight="true" outlineLevel="0" collapsed="false">
      <c r="B6" s="18" t="s">
        <v>27</v>
      </c>
      <c r="C6" s="18" t="s">
        <v>28</v>
      </c>
      <c r="D6" s="18" t="s">
        <v>29</v>
      </c>
      <c r="E6" s="18" t="s">
        <v>30</v>
      </c>
      <c r="F6" s="18" t="s">
        <v>31</v>
      </c>
      <c r="G6" s="18" t="s">
        <v>32</v>
      </c>
      <c r="H6" s="18" t="s">
        <v>33</v>
      </c>
      <c r="I6" s="18" t="s">
        <v>34</v>
      </c>
      <c r="J6" s="18" t="s">
        <v>35</v>
      </c>
      <c r="K6" s="18" t="s">
        <v>36</v>
      </c>
      <c r="L6" s="18" t="s">
        <v>37</v>
      </c>
    </row>
    <row r="7" customFormat="false" ht="21.75" hidden="false" customHeight="true" outlineLevel="0" collapsed="false">
      <c r="B7" s="19" t="s">
        <v>38</v>
      </c>
      <c r="C7" s="20" t="str">
        <f aca="false">'Website Project'!C4</f>
        <v>Website refresh</v>
      </c>
      <c r="D7" s="20" t="str">
        <f aca="false">'Website Project'!C5</f>
        <v>Owner</v>
      </c>
      <c r="E7" s="21" t="n">
        <f aca="false">'Website Project'!G5</f>
        <v>46274</v>
      </c>
      <c r="F7" s="21" t="n">
        <f aca="false">'Website Project'!G6</f>
        <v>46369</v>
      </c>
      <c r="G7" s="22" t="n">
        <f aca="false">'Website Project'!G4</f>
        <v>0.514193548387097</v>
      </c>
      <c r="H7" s="23" t="n">
        <f aca="false">COUNTA('Website Project'!$C$12:$C$46)</f>
        <v>23</v>
      </c>
      <c r="I7" s="23" t="n">
        <f aca="false">COUNTIF('Website Project'!$K$12:$K$46,"Done")</f>
        <v>6</v>
      </c>
      <c r="J7" s="24" t="n">
        <f aca="false">'Website Project'!K5</f>
        <v>1</v>
      </c>
      <c r="K7" s="21" t="n">
        <f aca="false">'Website Project'!K6</f>
        <v>46310</v>
      </c>
      <c r="L7" s="19" t="str">
        <f aca="false">IF(H7=0,"",IF(N(G7)&gt;=1,"Complete",IF(N(J7)&gt;0,"Needs attention",IF(N(G7)=0,"Not started","On track"))))</f>
        <v>Needs attention</v>
      </c>
    </row>
    <row r="8" customFormat="false" ht="21.75" hidden="false" customHeight="true" outlineLevel="0" collapsed="false">
      <c r="B8" s="19" t="s">
        <v>39</v>
      </c>
      <c r="C8" s="20" t="str">
        <f aca="false">'Digital Campaign'!C4</f>
        <v>Fall offer campaign</v>
      </c>
      <c r="D8" s="20" t="str">
        <f aca="false">'Digital Campaign'!C5</f>
        <v>Marcus</v>
      </c>
      <c r="E8" s="21" t="n">
        <f aca="false">'Digital Campaign'!G5</f>
        <v>46299</v>
      </c>
      <c r="F8" s="21" t="n">
        <f aca="false">'Digital Campaign'!G6</f>
        <v>46351</v>
      </c>
      <c r="G8" s="22" t="n">
        <f aca="false">'Digital Campaign'!G4</f>
        <v>0.158108108108108</v>
      </c>
      <c r="H8" s="23" t="n">
        <f aca="false">COUNTA('Digital Campaign'!$C$12:$C$36)</f>
        <v>13</v>
      </c>
      <c r="I8" s="23" t="n">
        <f aca="false">COUNTIF('Digital Campaign'!$K$12:$K$36,"Done")</f>
        <v>3</v>
      </c>
      <c r="J8" s="24" t="n">
        <f aca="false">'Digital Campaign'!K5</f>
        <v>0</v>
      </c>
      <c r="K8" s="21" t="n">
        <f aca="false">'Digital Campaign'!K6</f>
        <v>46314</v>
      </c>
      <c r="L8" s="19" t="str">
        <f aca="false">IF(H8=0,"",IF(N(G8)&gt;=1,"Complete",IF(N(J8)&gt;0,"Needs attention",IF(N(G8)=0,"Not started","On track"))))</f>
        <v>On track</v>
      </c>
    </row>
    <row r="9" customFormat="false" ht="21.75" hidden="false" customHeight="true" outlineLevel="0" collapsed="false">
      <c r="B9" s="19" t="s">
        <v>40</v>
      </c>
      <c r="C9" s="20" t="str">
        <f aca="false">'Trade Show &amp; Event'!C4</f>
        <v>Spring Home &amp; Builder Expo</v>
      </c>
      <c r="D9" s="20" t="str">
        <f aca="false">'Trade Show &amp; Event'!C5</f>
        <v>Owner</v>
      </c>
      <c r="E9" s="21" t="n">
        <f aca="false">'Trade Show &amp; Event'!G5</f>
        <v>46279</v>
      </c>
      <c r="F9" s="21" t="n">
        <f aca="false">'Trade Show &amp; Event'!G6</f>
        <v>46454</v>
      </c>
      <c r="G9" s="22" t="n">
        <f aca="false">'Trade Show &amp; Event'!G4</f>
        <v>0.0876288659793814</v>
      </c>
      <c r="H9" s="23" t="n">
        <f aca="false">COUNTA('Trade Show &amp; Event'!$C$12:$C$47)</f>
        <v>24</v>
      </c>
      <c r="I9" s="23" t="n">
        <f aca="false">COUNTIF('Trade Show &amp; Event'!$K$12:$K$47,"Done")</f>
        <v>5</v>
      </c>
      <c r="J9" s="24" t="n">
        <f aca="false">'Trade Show &amp; Event'!K5</f>
        <v>0</v>
      </c>
      <c r="K9" s="21" t="n">
        <f aca="false">'Trade Show &amp; Event'!K6</f>
        <v>46323</v>
      </c>
      <c r="L9" s="19" t="str">
        <f aca="false">IF(H9=0,"",IF(N(G9)&gt;=1,"Complete",IF(N(J9)&gt;0,"Needs attention",IF(N(G9)=0,"Not started","On track"))))</f>
        <v>On track</v>
      </c>
    </row>
    <row r="10" customFormat="false" ht="21.75" hidden="false" customHeight="true" outlineLevel="0" collapsed="false">
      <c r="B10" s="19" t="s">
        <v>41</v>
      </c>
      <c r="C10" s="20" t="str">
        <f aca="false">'Other Project'!C4</f>
        <v>[Project name]</v>
      </c>
      <c r="D10" s="20" t="str">
        <f aca="false">'Other Project'!C5</f>
        <v>[Project lead]</v>
      </c>
      <c r="E10" s="21" t="n">
        <f aca="false">'Other Project'!G5</f>
        <v>46323</v>
      </c>
      <c r="F10" s="21" t="n">
        <f aca="false">'Other Project'!G6</f>
        <v>46360</v>
      </c>
      <c r="G10" s="22" t="n">
        <f aca="false">'Other Project'!G4</f>
        <v>0</v>
      </c>
      <c r="H10" s="23" t="n">
        <f aca="false">COUNTA('Other Project'!$C$12:$C$46)</f>
        <v>10</v>
      </c>
      <c r="I10" s="23" t="n">
        <f aca="false">COUNTIF('Other Project'!$K$12:$K$46,"Done")</f>
        <v>0</v>
      </c>
      <c r="J10" s="24" t="n">
        <f aca="false">'Other Project'!K5</f>
        <v>0</v>
      </c>
      <c r="K10" s="21" t="n">
        <f aca="false">'Other Project'!K6</f>
        <v>46324</v>
      </c>
      <c r="L10" s="19" t="str">
        <f aca="false">IF(H10=0,"",IF(N(G10)&gt;=1,"Complete",IF(N(J10)&gt;0,"Needs attention",IF(N(G10)=0,"Not started","On track"))))</f>
        <v>Not started</v>
      </c>
    </row>
    <row r="12" customFormat="false" ht="15" hidden="false" customHeight="false" outlineLevel="0" collapsed="false">
      <c r="B12" s="25" t="s">
        <v>42</v>
      </c>
    </row>
    <row r="14" customFormat="false" ht="15" hidden="false" customHeight="false" outlineLevel="0" collapsed="false">
      <c r="B14" s="26" t="s">
        <v>43</v>
      </c>
      <c r="C14" s="6"/>
      <c r="D14" s="6"/>
      <c r="E14" s="6"/>
      <c r="F14" s="6"/>
      <c r="G14" s="6"/>
      <c r="H14" s="6"/>
      <c r="I14" s="6"/>
      <c r="J14" s="6"/>
      <c r="K14" s="6"/>
      <c r="L14" s="6"/>
    </row>
    <row r="15" customFormat="false" ht="15" hidden="false" customHeight="false" outlineLevel="0" collapsed="false">
      <c r="B15" s="27" t="s">
        <v>44</v>
      </c>
      <c r="D15" s="24" t="n">
        <f aca="false">COUNTA('Event Calendar &amp; Budget'!$A$6:$A$30)</f>
        <v>7</v>
      </c>
    </row>
    <row r="16" customFormat="false" ht="15" hidden="false" customHeight="false" outlineLevel="0" collapsed="false">
      <c r="B16" s="27" t="s">
        <v>45</v>
      </c>
      <c r="D16" s="28" t="n">
        <f aca="false">'Event Calendar &amp; Budget'!$J$31</f>
        <v>18350</v>
      </c>
    </row>
    <row r="17" customFormat="false" ht="15" hidden="false" customHeight="false" outlineLevel="0" collapsed="false">
      <c r="B17" s="27" t="s">
        <v>46</v>
      </c>
      <c r="D17" s="28" t="n">
        <f aca="false">'Event Calendar &amp; Budget'!$K$31</f>
        <v>7950</v>
      </c>
    </row>
    <row r="18" customFormat="false" ht="15" hidden="false" customHeight="false" outlineLevel="0" collapsed="false">
      <c r="B18" s="27" t="s">
        <v>47</v>
      </c>
      <c r="D18" s="24" t="n">
        <f aca="false">'Event Calendar &amp; Budget'!$L$31</f>
        <v>79</v>
      </c>
    </row>
    <row r="19" customFormat="false" ht="15" hidden="false" customHeight="false" outlineLevel="0" collapsed="false">
      <c r="B19" s="27" t="s">
        <v>48</v>
      </c>
      <c r="D19" s="28" t="n">
        <f aca="false">'Event Calendar &amp; Budget'!$O$31</f>
        <v>33000</v>
      </c>
    </row>
    <row r="20" customFormat="false" ht="15" hidden="false" customHeight="false" outlineLevel="0" collapsed="false">
      <c r="B20" s="27" t="s">
        <v>49</v>
      </c>
      <c r="D20" s="28" t="n">
        <f aca="false">'Event Calendar &amp; Budget'!$P$31</f>
        <v>100.632911392405</v>
      </c>
    </row>
  </sheetData>
  <conditionalFormatting sqref="G7:G10">
    <cfRule type="dataBar" priority="2">
      <dataBar showValue="1" minLength="10" maxLength="90">
        <cfvo type="num" val="0"/>
        <cfvo type="num" val="1"/>
        <color rgb="FF8DC640"/>
      </dataBar>
      <extLst>
        <ext xmlns:x14="http://schemas.microsoft.com/office/spreadsheetml/2009/9/main" uri="{B025F937-C7B1-47D3-B67F-A62EFF666E3E}">
          <x14:id>{9D5760F2-5AD6-4ABA-9C2E-713E40DD209B}</x14:id>
        </ext>
      </extLst>
    </cfRule>
  </conditionalFormatting>
  <conditionalFormatting sqref="L7:L10">
    <cfRule type="expression" priority="3" aboveAverage="0" equalAverage="0" bottom="0" percent="0" rank="0" text="" dxfId="0">
      <formula>L7="On track"</formula>
    </cfRule>
    <cfRule type="expression" priority="4" aboveAverage="0" equalAverage="0" bottom="0" percent="0" rank="0" text="" dxfId="1">
      <formula>L7="Complete"</formula>
    </cfRule>
    <cfRule type="expression" priority="5" aboveAverage="0" equalAverage="0" bottom="0" percent="0" rank="0" text="" dxfId="2">
      <formula>L7="Needs attention"</formula>
    </cfRule>
    <cfRule type="expression" priority="6" aboveAverage="0" equalAverage="0" bottom="0" percent="0" rank="0" text="" dxfId="3">
      <formula>L7="Not started"</formula>
    </cfRule>
  </conditionalFormatting>
  <conditionalFormatting sqref="J7:J10">
    <cfRule type="expression" priority="7" aboveAverage="0" equalAverage="0" bottom="0" percent="0" rank="0" text="" dxfId="2">
      <formula>N(J7)&gt;0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9D5760F2-5AD6-4ABA-9C2E-713E40DD209B}">
            <x14:dataBar minLength="10" maxLength="90" axisPosition="none" gradient="true">
              <x14:cfvo type="num">
                <xm:f>0</xm:f>
              </x14:cfvo>
              <x14:cfvo type="num">
                <xm:f>1</xm:f>
              </x14:cfvo>
              <x14:negativeFillColor rgb="FF8DC640"/>
              <x14:axisColor rgb="FF000000"/>
            </x14:dataBar>
          </x14:cfRule>
          <xm:sqref>G7:G10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6" min="2" style="0" width="30"/>
  </cols>
  <sheetData>
    <row r="1" customFormat="false" ht="22.05" hidden="false" customHeight="false" outlineLevel="0" collapsed="false">
      <c r="B1" s="29" t="s">
        <v>50</v>
      </c>
    </row>
    <row r="2" customFormat="false" ht="15" hidden="false" customHeight="false" outlineLevel="0" collapsed="false">
      <c r="B2" s="30" t="s">
        <v>51</v>
      </c>
    </row>
    <row r="4" customFormat="false" ht="15" hidden="false" customHeight="false" outlineLevel="0" collapsed="false">
      <c r="B4" s="26" t="s">
        <v>52</v>
      </c>
      <c r="C4" s="6"/>
      <c r="D4" s="6"/>
      <c r="E4" s="6"/>
      <c r="F4" s="6"/>
    </row>
    <row r="5" customFormat="false" ht="19.5" hidden="false" customHeight="true" outlineLevel="0" collapsed="false">
      <c r="B5" s="31" t="s">
        <v>53</v>
      </c>
      <c r="C5" s="32" t="s">
        <v>54</v>
      </c>
      <c r="D5" s="32"/>
      <c r="E5" s="32"/>
      <c r="F5" s="32"/>
    </row>
    <row r="6" customFormat="false" ht="19.5" hidden="false" customHeight="true" outlineLevel="0" collapsed="false">
      <c r="B6" s="31" t="s">
        <v>55</v>
      </c>
      <c r="C6" s="32" t="s">
        <v>56</v>
      </c>
      <c r="D6" s="32"/>
      <c r="E6" s="32"/>
      <c r="F6" s="32"/>
    </row>
    <row r="7" customFormat="false" ht="19.5" hidden="false" customHeight="true" outlineLevel="0" collapsed="false">
      <c r="B7" s="31" t="s">
        <v>57</v>
      </c>
      <c r="C7" s="32" t="s">
        <v>58</v>
      </c>
      <c r="D7" s="32"/>
      <c r="E7" s="32"/>
      <c r="F7" s="32"/>
    </row>
    <row r="8" customFormat="false" ht="19.5" hidden="false" customHeight="true" outlineLevel="0" collapsed="false">
      <c r="B8" s="31" t="s">
        <v>59</v>
      </c>
      <c r="C8" s="32" t="s">
        <v>60</v>
      </c>
      <c r="D8" s="32"/>
      <c r="E8" s="32"/>
      <c r="F8" s="32"/>
    </row>
    <row r="10" customFormat="false" ht="15" hidden="false" customHeight="false" outlineLevel="0" collapsed="false">
      <c r="B10" s="26" t="s">
        <v>61</v>
      </c>
      <c r="C10" s="6"/>
      <c r="D10" s="6"/>
      <c r="E10" s="6"/>
      <c r="F10" s="6"/>
    </row>
    <row r="11" customFormat="false" ht="39.75" hidden="false" customHeight="true" outlineLevel="0" collapsed="false">
      <c r="B11" s="31" t="s">
        <v>62</v>
      </c>
      <c r="C11" s="32" t="s">
        <v>63</v>
      </c>
      <c r="D11" s="32"/>
      <c r="E11" s="32"/>
      <c r="F11" s="32"/>
    </row>
    <row r="12" customFormat="false" ht="39.75" hidden="false" customHeight="true" outlineLevel="0" collapsed="false">
      <c r="B12" s="31" t="s">
        <v>64</v>
      </c>
      <c r="C12" s="32" t="s">
        <v>65</v>
      </c>
      <c r="D12" s="32"/>
      <c r="E12" s="32"/>
      <c r="F12" s="32"/>
    </row>
    <row r="13" customFormat="false" ht="30" hidden="false" customHeight="true" outlineLevel="0" collapsed="false">
      <c r="B13" s="31" t="s">
        <v>66</v>
      </c>
      <c r="C13" s="32" t="s">
        <v>67</v>
      </c>
      <c r="D13" s="32"/>
      <c r="E13" s="32"/>
      <c r="F13" s="32"/>
    </row>
    <row r="15" customFormat="false" ht="15" hidden="false" customHeight="false" outlineLevel="0" collapsed="false">
      <c r="B15" s="26" t="s">
        <v>68</v>
      </c>
      <c r="C15" s="6"/>
      <c r="D15" s="6"/>
      <c r="E15" s="6"/>
      <c r="F15" s="6"/>
    </row>
    <row r="16" customFormat="false" ht="36" hidden="false" customHeight="true" outlineLevel="0" collapsed="false">
      <c r="B16" s="31" t="s">
        <v>69</v>
      </c>
      <c r="C16" s="32" t="s">
        <v>70</v>
      </c>
      <c r="D16" s="32"/>
      <c r="E16" s="32"/>
      <c r="F16" s="32"/>
    </row>
    <row r="17" customFormat="false" ht="30" hidden="false" customHeight="true" outlineLevel="0" collapsed="false">
      <c r="B17" s="31" t="s">
        <v>71</v>
      </c>
      <c r="C17" s="32" t="s">
        <v>72</v>
      </c>
      <c r="D17" s="32"/>
      <c r="E17" s="32"/>
      <c r="F17" s="32"/>
    </row>
    <row r="19" customFormat="false" ht="15" hidden="false" customHeight="false" outlineLevel="0" collapsed="false">
      <c r="B19" s="26" t="s">
        <v>73</v>
      </c>
      <c r="C19" s="6"/>
      <c r="D19" s="6"/>
      <c r="E19" s="6"/>
      <c r="F19" s="6"/>
    </row>
    <row r="20" customFormat="false" ht="19.5" hidden="false" customHeight="true" outlineLevel="0" collapsed="false">
      <c r="B20" s="31" t="s">
        <v>74</v>
      </c>
      <c r="C20" s="32" t="s">
        <v>56</v>
      </c>
      <c r="D20" s="32"/>
      <c r="E20" s="32"/>
      <c r="F20" s="32"/>
    </row>
    <row r="21" customFormat="false" ht="19.5" hidden="false" customHeight="true" outlineLevel="0" collapsed="false">
      <c r="B21" s="31" t="s">
        <v>75</v>
      </c>
      <c r="C21" s="32" t="s">
        <v>76</v>
      </c>
      <c r="D21" s="32"/>
      <c r="E21" s="32"/>
      <c r="F21" s="32"/>
    </row>
    <row r="22" customFormat="false" ht="19.5" hidden="false" customHeight="true" outlineLevel="0" collapsed="false">
      <c r="B22" s="31" t="s">
        <v>77</v>
      </c>
      <c r="C22" s="32" t="s">
        <v>78</v>
      </c>
      <c r="D22" s="32"/>
      <c r="E22" s="32"/>
      <c r="F22" s="32"/>
    </row>
    <row r="23" customFormat="false" ht="19.5" hidden="false" customHeight="true" outlineLevel="0" collapsed="false">
      <c r="B23" s="31" t="s">
        <v>79</v>
      </c>
      <c r="C23" s="32" t="s">
        <v>80</v>
      </c>
      <c r="D23" s="32"/>
      <c r="E23" s="32"/>
      <c r="F23" s="32"/>
    </row>
    <row r="25" customFormat="false" ht="15" hidden="false" customHeight="false" outlineLevel="0" collapsed="false">
      <c r="B25" s="26" t="s">
        <v>81</v>
      </c>
      <c r="C25" s="6"/>
      <c r="D25" s="6"/>
      <c r="E25" s="6"/>
      <c r="F25" s="6"/>
    </row>
    <row r="26" customFormat="false" ht="15" hidden="false" customHeight="false" outlineLevel="0" collapsed="false">
      <c r="B26" s="33" t="s">
        <v>82</v>
      </c>
      <c r="C26" s="33" t="s">
        <v>83</v>
      </c>
      <c r="D26" s="33" t="s">
        <v>84</v>
      </c>
      <c r="E26" s="34" t="s">
        <v>85</v>
      </c>
      <c r="F26" s="34"/>
    </row>
    <row r="27" customFormat="false" ht="30" hidden="false" customHeight="true" outlineLevel="0" collapsed="false">
      <c r="B27" s="35" t="s">
        <v>86</v>
      </c>
      <c r="C27" s="36" t="s">
        <v>87</v>
      </c>
      <c r="D27" s="36" t="s">
        <v>87</v>
      </c>
      <c r="E27" s="32" t="s">
        <v>88</v>
      </c>
      <c r="F27" s="32"/>
    </row>
    <row r="28" customFormat="false" ht="30" hidden="false" customHeight="true" outlineLevel="0" collapsed="false">
      <c r="B28" s="35" t="s">
        <v>89</v>
      </c>
      <c r="C28" s="36" t="s">
        <v>90</v>
      </c>
      <c r="D28" s="36" t="s">
        <v>90</v>
      </c>
      <c r="E28" s="32" t="s">
        <v>91</v>
      </c>
      <c r="F28" s="32"/>
    </row>
    <row r="29" customFormat="false" ht="30" hidden="false" customHeight="true" outlineLevel="0" collapsed="false">
      <c r="B29" s="35" t="s">
        <v>92</v>
      </c>
      <c r="C29" s="36" t="s">
        <v>87</v>
      </c>
      <c r="D29" s="36" t="s">
        <v>87</v>
      </c>
      <c r="E29" s="32" t="s">
        <v>93</v>
      </c>
      <c r="F29" s="32"/>
    </row>
    <row r="30" customFormat="false" ht="30" hidden="false" customHeight="true" outlineLevel="0" collapsed="false">
      <c r="B30" s="35"/>
      <c r="C30" s="36"/>
      <c r="D30" s="36"/>
      <c r="E30" s="32"/>
      <c r="F30" s="32"/>
    </row>
    <row r="32" customFormat="false" ht="15" hidden="false" customHeight="false" outlineLevel="0" collapsed="false">
      <c r="B32" s="26" t="s">
        <v>94</v>
      </c>
      <c r="C32" s="6"/>
      <c r="D32" s="6"/>
      <c r="E32" s="6"/>
      <c r="F32" s="6"/>
    </row>
    <row r="33" customFormat="false" ht="21.75" hidden="false" customHeight="true" outlineLevel="0" collapsed="false">
      <c r="B33" s="31" t="s">
        <v>95</v>
      </c>
      <c r="C33" s="32" t="s">
        <v>96</v>
      </c>
      <c r="D33" s="32"/>
      <c r="E33" s="32"/>
      <c r="F33" s="32"/>
    </row>
    <row r="34" customFormat="false" ht="21.75" hidden="false" customHeight="true" outlineLevel="0" collapsed="false">
      <c r="B34" s="31" t="s">
        <v>97</v>
      </c>
      <c r="C34" s="32" t="s">
        <v>98</v>
      </c>
      <c r="D34" s="32"/>
      <c r="E34" s="32"/>
      <c r="F34" s="32"/>
    </row>
    <row r="35" customFormat="false" ht="21.75" hidden="false" customHeight="true" outlineLevel="0" collapsed="false">
      <c r="B35" s="31" t="s">
        <v>99</v>
      </c>
      <c r="C35" s="32" t="s">
        <v>100</v>
      </c>
      <c r="D35" s="32"/>
      <c r="E35" s="32"/>
      <c r="F35" s="32"/>
    </row>
    <row r="37" customFormat="false" ht="15" hidden="false" customHeight="false" outlineLevel="0" collapsed="false">
      <c r="B37" s="26" t="s">
        <v>101</v>
      </c>
      <c r="C37" s="6"/>
      <c r="D37" s="6"/>
      <c r="E37" s="6"/>
      <c r="F37" s="6"/>
    </row>
    <row r="38" customFormat="false" ht="19.5" hidden="false" customHeight="true" outlineLevel="0" collapsed="false">
      <c r="B38" s="31" t="s">
        <v>102</v>
      </c>
      <c r="C38" s="32"/>
      <c r="D38" s="32"/>
      <c r="E38" s="32"/>
      <c r="F38" s="32"/>
    </row>
  </sheetData>
  <mergeCells count="22">
    <mergeCell ref="C5:F5"/>
    <mergeCell ref="C6:F6"/>
    <mergeCell ref="C7:F7"/>
    <mergeCell ref="C8:F8"/>
    <mergeCell ref="C11:F11"/>
    <mergeCell ref="C12:F12"/>
    <mergeCell ref="C13:F13"/>
    <mergeCell ref="C16:F16"/>
    <mergeCell ref="C17:F17"/>
    <mergeCell ref="C20:F20"/>
    <mergeCell ref="C21:F21"/>
    <mergeCell ref="C22:F22"/>
    <mergeCell ref="C23:F23"/>
    <mergeCell ref="E26:F26"/>
    <mergeCell ref="E27:F27"/>
    <mergeCell ref="E28:F28"/>
    <mergeCell ref="E29:F29"/>
    <mergeCell ref="E30:F30"/>
    <mergeCell ref="C33:F33"/>
    <mergeCell ref="C34:F34"/>
    <mergeCell ref="C35:F35"/>
    <mergeCell ref="C38:F38"/>
  </mergeCells>
  <dataValidations count="1">
    <dataValidation allowBlank="true" errorStyle="stop" operator="between" showDropDown="false" showErrorMessage="false" showInputMessage="false" sqref="C27:D30" type="list">
      <formula1>"Low,Medium,High"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AR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1" topLeftCell="D12" activePane="bottomRight" state="frozen"/>
      <selection pane="topLeft" activeCell="A1" activeCellId="0" sqref="A1"/>
      <selection pane="topRight" activeCell="D1" activeCellId="0" sqref="D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46"/>
    <col collapsed="false" customWidth="true" hidden="false" outlineLevel="0" max="4" min="4" style="0" width="11"/>
    <col collapsed="false" customWidth="true" hidden="false" outlineLevel="0" max="5" min="5" style="0" width="9"/>
    <col collapsed="false" customWidth="true" hidden="false" outlineLevel="0" max="7" min="6" style="0" width="12"/>
    <col collapsed="false" customWidth="true" hidden="false" outlineLevel="0" max="8" min="8" style="0" width="7"/>
    <col collapsed="false" customWidth="true" hidden="false" outlineLevel="0" max="9" min="9" style="0" width="12"/>
    <col collapsed="false" customWidth="true" hidden="false" outlineLevel="0" max="10" min="10" style="0" width="8"/>
    <col collapsed="false" customWidth="true" hidden="false" outlineLevel="0" max="11" min="11" style="0" width="15"/>
    <col collapsed="false" customWidth="true" hidden="false" outlineLevel="0" max="12" min="12" style="0" width="8"/>
    <col collapsed="false" customWidth="true" hidden="false" outlineLevel="0" max="13" min="13" style="0" width="12"/>
    <col collapsed="false" customWidth="true" hidden="false" outlineLevel="0" max="14" min="14" style="0" width="30"/>
    <col collapsed="false" customWidth="true" hidden="false" outlineLevel="0" max="44" min="15" style="0" width="4.6"/>
  </cols>
  <sheetData>
    <row r="1" customFormat="false" ht="22.05" hidden="false" customHeight="false" outlineLevel="0" collapsed="false">
      <c r="A1" s="29" t="s">
        <v>38</v>
      </c>
    </row>
    <row r="2" customFormat="false" ht="15" hidden="false" customHeight="false" outlineLevel="0" collapsed="false">
      <c r="A2" s="30" t="s">
        <v>103</v>
      </c>
    </row>
    <row r="4" customFormat="false" ht="15" hidden="false" customHeight="false" outlineLevel="0" collapsed="false">
      <c r="B4" s="17" t="s">
        <v>53</v>
      </c>
      <c r="C4" s="36" t="s">
        <v>54</v>
      </c>
      <c r="F4" s="37" t="s">
        <v>32</v>
      </c>
      <c r="G4" s="38" t="n">
        <f aca="false">IF(SUM($H$12:$H$46)=0,"",SUMPRODUCT($H$12:$H$46,($K$12:$K$46="Done")+($K$12:$K$46&lt;&gt;"Done")*$L$12:$L$46)/SUM($H$12:$H$46))</f>
        <v>0.514193548387097</v>
      </c>
      <c r="H4" s="38"/>
      <c r="J4" s="37" t="s">
        <v>104</v>
      </c>
      <c r="K4" s="39" t="str">
        <f aca="false">COUNTIF($K$12:$K$46,"Done")&amp;" of "&amp;COUNTA($C$12:$C$46)</f>
        <v>6 of 23</v>
      </c>
      <c r="L4" s="39"/>
    </row>
    <row r="5" customFormat="false" ht="15" hidden="false" customHeight="false" outlineLevel="0" collapsed="false">
      <c r="B5" s="17" t="s">
        <v>105</v>
      </c>
      <c r="C5" s="36" t="s">
        <v>56</v>
      </c>
      <c r="F5" s="37" t="s">
        <v>30</v>
      </c>
      <c r="G5" s="40" t="n">
        <f aca="false">IF(COUNT($G$12:$G$46)=0,"",MIN($G$12:$G$46))</f>
        <v>46274</v>
      </c>
      <c r="H5" s="40"/>
      <c r="J5" s="37" t="s">
        <v>106</v>
      </c>
      <c r="K5" s="41" t="n">
        <f aca="false">COUNTIF($M$12:$M$46,"Overdue")</f>
        <v>1</v>
      </c>
      <c r="L5" s="41"/>
    </row>
    <row r="6" customFormat="false" ht="15" hidden="false" customHeight="false" outlineLevel="0" collapsed="false">
      <c r="B6" s="17" t="s">
        <v>107</v>
      </c>
      <c r="C6" s="42" t="n">
        <f aca="true">TODAY()-35</f>
        <v>46274</v>
      </c>
      <c r="F6" s="37" t="s">
        <v>31</v>
      </c>
      <c r="G6" s="40" t="n">
        <f aca="false">IF(COUNT($I$12:$I$46)=0,"",MAX($I$12:$I$46))</f>
        <v>46369</v>
      </c>
      <c r="H6" s="40"/>
      <c r="J6" s="37" t="s">
        <v>36</v>
      </c>
      <c r="K6" s="40" t="n">
        <f aca="true">IFERROR(_xlfn.MINIFS($I$12:$I$46,$K$12:$K$46,"&lt;&gt;Done",$I$12:$I$46,"&gt;="&amp;TODAY()),"")</f>
        <v>46310</v>
      </c>
      <c r="L6" s="40"/>
    </row>
    <row r="7" customFormat="false" ht="15" hidden="false" customHeight="false" outlineLevel="0" collapsed="false">
      <c r="B7" s="17" t="s">
        <v>59</v>
      </c>
      <c r="C7" s="43" t="n">
        <v>12000</v>
      </c>
    </row>
    <row r="8" customFormat="false" ht="15" hidden="false" customHeight="false" outlineLevel="0" collapsed="false">
      <c r="B8" s="17" t="s">
        <v>108</v>
      </c>
      <c r="C8" s="36" t="s">
        <v>109</v>
      </c>
    </row>
    <row r="9" customFormat="false" ht="15" hidden="false" customHeight="false" outlineLevel="0" collapsed="false">
      <c r="B9" s="25" t="s">
        <v>110</v>
      </c>
    </row>
    <row r="10" customFormat="false" ht="15" hidden="false" customHeight="false" outlineLevel="0" collapsed="false">
      <c r="C10" s="25" t="s">
        <v>111</v>
      </c>
      <c r="O10" s="44" t="str">
        <f aca="false">TEXT(O11,"mmm")</f>
        <v>Sep</v>
      </c>
      <c r="P10" s="44" t="str">
        <f aca="false">IF(MONTH(P11)&lt;&gt;MONTH(O11),TEXT(P11,"mmm"),"")</f>
        <v/>
      </c>
      <c r="Q10" s="44" t="str">
        <f aca="false">IF(MONTH(Q11)&lt;&gt;MONTH(P11),TEXT(Q11,"mmm"),"")</f>
        <v/>
      </c>
      <c r="R10" s="44" t="str">
        <f aca="false">IF(MONTH(R11)&lt;&gt;MONTH(Q11),TEXT(R11,"mmm"),"")</f>
        <v/>
      </c>
      <c r="S10" s="44" t="str">
        <f aca="false">IF(MONTH(S11)&lt;&gt;MONTH(R11),TEXT(S11,"mmm"),"")</f>
        <v>Oct</v>
      </c>
      <c r="T10" s="44" t="str">
        <f aca="false">IF(MONTH(T11)&lt;&gt;MONTH(S11),TEXT(T11,"mmm"),"")</f>
        <v/>
      </c>
      <c r="U10" s="44" t="str">
        <f aca="false">IF(MONTH(U11)&lt;&gt;MONTH(T11),TEXT(U11,"mmm"),"")</f>
        <v/>
      </c>
      <c r="V10" s="44" t="str">
        <f aca="false">IF(MONTH(V11)&lt;&gt;MONTH(U11),TEXT(V11,"mmm"),"")</f>
        <v/>
      </c>
      <c r="W10" s="44" t="str">
        <f aca="false">IF(MONTH(W11)&lt;&gt;MONTH(V11),TEXT(W11,"mmm"),"")</f>
        <v>Nov</v>
      </c>
      <c r="X10" s="44" t="str">
        <f aca="false">IF(MONTH(X11)&lt;&gt;MONTH(W11),TEXT(X11,"mmm"),"")</f>
        <v/>
      </c>
      <c r="Y10" s="44" t="str">
        <f aca="false">IF(MONTH(Y11)&lt;&gt;MONTH(X11),TEXT(Y11,"mmm"),"")</f>
        <v/>
      </c>
      <c r="Z10" s="44" t="str">
        <f aca="false">IF(MONTH(Z11)&lt;&gt;MONTH(Y11),TEXT(Z11,"mmm"),"")</f>
        <v/>
      </c>
      <c r="AA10" s="44" t="str">
        <f aca="false">IF(MONTH(AA11)&lt;&gt;MONTH(Z11),TEXT(AA11,"mmm"),"")</f>
        <v/>
      </c>
      <c r="AB10" s="44" t="str">
        <f aca="false">IF(MONTH(AB11)&lt;&gt;MONTH(AA11),TEXT(AB11,"mmm"),"")</f>
        <v>Dec</v>
      </c>
      <c r="AC10" s="44" t="str">
        <f aca="false">IF(MONTH(AC11)&lt;&gt;MONTH(AB11),TEXT(AC11,"mmm"),"")</f>
        <v/>
      </c>
      <c r="AD10" s="44" t="str">
        <f aca="false">IF(MONTH(AD11)&lt;&gt;MONTH(AC11),TEXT(AD11,"mmm"),"")</f>
        <v/>
      </c>
      <c r="AE10" s="44" t="str">
        <f aca="false">IF(MONTH(AE11)&lt;&gt;MONTH(AD11),TEXT(AE11,"mmm"),"")</f>
        <v/>
      </c>
      <c r="AF10" s="44" t="str">
        <f aca="false">IF(MONTH(AF11)&lt;&gt;MONTH(AE11),TEXT(AF11,"mmm"),"")</f>
        <v>Jan</v>
      </c>
      <c r="AG10" s="44" t="str">
        <f aca="false">IF(MONTH(AG11)&lt;&gt;MONTH(AF11),TEXT(AG11,"mmm"),"")</f>
        <v/>
      </c>
      <c r="AH10" s="44" t="str">
        <f aca="false">IF(MONTH(AH11)&lt;&gt;MONTH(AG11),TEXT(AH11,"mmm"),"")</f>
        <v/>
      </c>
      <c r="AI10" s="44" t="str">
        <f aca="false">IF(MONTH(AI11)&lt;&gt;MONTH(AH11),TEXT(AI11,"mmm"),"")</f>
        <v/>
      </c>
      <c r="AJ10" s="44" t="str">
        <f aca="false">IF(MONTH(AJ11)&lt;&gt;MONTH(AI11),TEXT(AJ11,"mmm"),"")</f>
        <v>Feb</v>
      </c>
      <c r="AK10" s="44" t="str">
        <f aca="false">IF(MONTH(AK11)&lt;&gt;MONTH(AJ11),TEXT(AK11,"mmm"),"")</f>
        <v/>
      </c>
      <c r="AL10" s="44" t="str">
        <f aca="false">IF(MONTH(AL11)&lt;&gt;MONTH(AK11),TEXT(AL11,"mmm"),"")</f>
        <v/>
      </c>
      <c r="AM10" s="44" t="str">
        <f aca="false">IF(MONTH(AM11)&lt;&gt;MONTH(AL11),TEXT(AM11,"mmm"),"")</f>
        <v/>
      </c>
      <c r="AN10" s="44" t="str">
        <f aca="false">IF(MONTH(AN11)&lt;&gt;MONTH(AM11),TEXT(AN11,"mmm"),"")</f>
        <v>Mar</v>
      </c>
      <c r="AO10" s="44" t="str">
        <f aca="false">IF(MONTH(AO11)&lt;&gt;MONTH(AN11),TEXT(AO11,"mmm"),"")</f>
        <v/>
      </c>
      <c r="AP10" s="44" t="str">
        <f aca="false">IF(MONTH(AP11)&lt;&gt;MONTH(AO11),TEXT(AP11,"mmm"),"")</f>
        <v/>
      </c>
      <c r="AQ10" s="44" t="str">
        <f aca="false">IF(MONTH(AQ11)&lt;&gt;MONTH(AP11),TEXT(AQ11,"mmm"),"")</f>
        <v/>
      </c>
      <c r="AR10" s="44" t="str">
        <f aca="false">IF(MONTH(AR11)&lt;&gt;MONTH(AQ11),TEXT(AR11,"mmm"),"")</f>
        <v/>
      </c>
    </row>
    <row r="11" customFormat="false" ht="42" hidden="false" customHeight="true" outlineLevel="0" collapsed="false">
      <c r="A11" s="18" t="s">
        <v>112</v>
      </c>
      <c r="B11" s="18" t="s">
        <v>113</v>
      </c>
      <c r="C11" s="18" t="s">
        <v>114</v>
      </c>
      <c r="D11" s="18" t="s">
        <v>56</v>
      </c>
      <c r="E11" s="18" t="s">
        <v>115</v>
      </c>
      <c r="F11" s="18" t="s">
        <v>116</v>
      </c>
      <c r="G11" s="18" t="s">
        <v>117</v>
      </c>
      <c r="H11" s="18" t="s">
        <v>118</v>
      </c>
      <c r="I11" s="18" t="s">
        <v>119</v>
      </c>
      <c r="J11" s="18" t="s">
        <v>120</v>
      </c>
      <c r="K11" s="18" t="s">
        <v>121</v>
      </c>
      <c r="L11" s="18" t="s">
        <v>122</v>
      </c>
      <c r="M11" s="18" t="s">
        <v>123</v>
      </c>
      <c r="N11" s="18" t="s">
        <v>124</v>
      </c>
      <c r="O11" s="45" t="n">
        <f aca="false">(MIN($G$12:$G$46)-WEEKDAY(MIN($G$12:$G$46),3))+0</f>
        <v>46272</v>
      </c>
      <c r="P11" s="45" t="n">
        <f aca="false">O11+7</f>
        <v>46279</v>
      </c>
      <c r="Q11" s="45" t="n">
        <f aca="false">P11+7</f>
        <v>46286</v>
      </c>
      <c r="R11" s="45" t="n">
        <f aca="false">Q11+7</f>
        <v>46293</v>
      </c>
      <c r="S11" s="45" t="n">
        <f aca="false">R11+7</f>
        <v>46300</v>
      </c>
      <c r="T11" s="45" t="n">
        <f aca="false">S11+7</f>
        <v>46307</v>
      </c>
      <c r="U11" s="45" t="n">
        <f aca="false">T11+7</f>
        <v>46314</v>
      </c>
      <c r="V11" s="45" t="n">
        <f aca="false">U11+7</f>
        <v>46321</v>
      </c>
      <c r="W11" s="45" t="n">
        <f aca="false">V11+7</f>
        <v>46328</v>
      </c>
      <c r="X11" s="45" t="n">
        <f aca="false">W11+7</f>
        <v>46335</v>
      </c>
      <c r="Y11" s="45" t="n">
        <f aca="false">X11+7</f>
        <v>46342</v>
      </c>
      <c r="Z11" s="45" t="n">
        <f aca="false">Y11+7</f>
        <v>46349</v>
      </c>
      <c r="AA11" s="45" t="n">
        <f aca="false">Z11+7</f>
        <v>46356</v>
      </c>
      <c r="AB11" s="45" t="n">
        <f aca="false">AA11+7</f>
        <v>46363</v>
      </c>
      <c r="AC11" s="45" t="n">
        <f aca="false">AB11+7</f>
        <v>46370</v>
      </c>
      <c r="AD11" s="45" t="n">
        <f aca="false">AC11+7</f>
        <v>46377</v>
      </c>
      <c r="AE11" s="45" t="n">
        <f aca="false">AD11+7</f>
        <v>46384</v>
      </c>
      <c r="AF11" s="45" t="n">
        <f aca="false">AE11+7</f>
        <v>46391</v>
      </c>
      <c r="AG11" s="45" t="n">
        <f aca="false">AF11+7</f>
        <v>46398</v>
      </c>
      <c r="AH11" s="45" t="n">
        <f aca="false">AG11+7</f>
        <v>46405</v>
      </c>
      <c r="AI11" s="45" t="n">
        <f aca="false">AH11+7</f>
        <v>46412</v>
      </c>
      <c r="AJ11" s="45" t="n">
        <f aca="false">AI11+7</f>
        <v>46419</v>
      </c>
      <c r="AK11" s="45" t="n">
        <f aca="false">AJ11+7</f>
        <v>46426</v>
      </c>
      <c r="AL11" s="45" t="n">
        <f aca="false">AK11+7</f>
        <v>46433</v>
      </c>
      <c r="AM11" s="45" t="n">
        <f aca="false">AL11+7</f>
        <v>46440</v>
      </c>
      <c r="AN11" s="45" t="n">
        <f aca="false">AM11+7</f>
        <v>46447</v>
      </c>
      <c r="AO11" s="45" t="n">
        <f aca="false">AN11+7</f>
        <v>46454</v>
      </c>
      <c r="AP11" s="45" t="n">
        <f aca="false">AO11+7</f>
        <v>46461</v>
      </c>
      <c r="AQ11" s="45" t="n">
        <f aca="false">AP11+7</f>
        <v>46468</v>
      </c>
      <c r="AR11" s="45" t="n">
        <f aca="false">AQ11+7</f>
        <v>46475</v>
      </c>
    </row>
    <row r="12" customFormat="false" ht="27.75" hidden="false" customHeight="true" outlineLevel="0" collapsed="false">
      <c r="A12" s="46" t="n">
        <f aca="false">IF(C12="","",ROW()-11)</f>
        <v>1</v>
      </c>
      <c r="B12" s="36" t="s">
        <v>125</v>
      </c>
      <c r="C12" s="35" t="s">
        <v>126</v>
      </c>
      <c r="D12" s="36" t="s">
        <v>56</v>
      </c>
      <c r="E12" s="47" t="n">
        <v>0</v>
      </c>
      <c r="F12" s="48"/>
      <c r="G12" s="49" t="n">
        <f aca="false">IF(C12="","",IF(F12&lt;&gt;"",F12,IF(E12="","",$C$6+E12)))</f>
        <v>46274</v>
      </c>
      <c r="H12" s="47" t="n">
        <v>2</v>
      </c>
      <c r="I12" s="49" t="n">
        <f aca="false">IF(OR(G12="",H12=""),"",G12+MAX(H12,1)-1)</f>
        <v>46275</v>
      </c>
      <c r="J12" s="47"/>
      <c r="K12" s="36" t="s">
        <v>34</v>
      </c>
      <c r="L12" s="50" t="n">
        <v>1</v>
      </c>
      <c r="M12" s="51" t="str">
        <f aca="true">IF(OR(C12="",I12=""),"",IF(AND(K12&lt;&gt;"Done",I12&lt;TODAY()),"Overdue",IF(AND(J12&lt;&gt;"",IFERROR(G12&lt;INDEX($I$12:$I$46,MATCH(J12,$A$12:$A$46,0)),FALSE())),"Check order","")))</f>
        <v/>
      </c>
      <c r="N12" s="35"/>
    </row>
    <row r="13" customFormat="false" ht="27.75" hidden="false" customHeight="true" outlineLevel="0" collapsed="false">
      <c r="A13" s="46" t="n">
        <f aca="false">IF(C13="","",ROW()-11)</f>
        <v>2</v>
      </c>
      <c r="B13" s="36" t="s">
        <v>125</v>
      </c>
      <c r="C13" s="35" t="s">
        <v>127</v>
      </c>
      <c r="D13" s="36" t="s">
        <v>56</v>
      </c>
      <c r="E13" s="47" t="n">
        <v>2</v>
      </c>
      <c r="F13" s="48"/>
      <c r="G13" s="49" t="n">
        <f aca="false">IF(C13="","",IF(F13&lt;&gt;"",F13,IF(E13="","",$C$6+E13)))</f>
        <v>46276</v>
      </c>
      <c r="H13" s="47" t="n">
        <v>5</v>
      </c>
      <c r="I13" s="49" t="n">
        <f aca="false">IF(OR(G13="",H13=""),"",G13+MAX(H13,1)-1)</f>
        <v>46280</v>
      </c>
      <c r="J13" s="47" t="n">
        <v>1</v>
      </c>
      <c r="K13" s="36" t="s">
        <v>34</v>
      </c>
      <c r="L13" s="50" t="n">
        <v>1</v>
      </c>
      <c r="M13" s="51" t="str">
        <f aca="true">IF(OR(C13="",I13=""),"",IF(AND(K13&lt;&gt;"Done",I13&lt;TODAY()),"Overdue",IF(AND(J13&lt;&gt;"",IFERROR(G13&lt;INDEX($I$12:$I$46,MATCH(J13,$A$12:$A$46,0)),FALSE())),"Check order","")))</f>
        <v/>
      </c>
      <c r="N13" s="35"/>
    </row>
    <row r="14" customFormat="false" ht="27.75" hidden="false" customHeight="true" outlineLevel="0" collapsed="false">
      <c r="A14" s="46" t="n">
        <f aca="false">IF(C14="","",ROW()-11)</f>
        <v>3</v>
      </c>
      <c r="B14" s="36" t="s">
        <v>125</v>
      </c>
      <c r="C14" s="35" t="s">
        <v>128</v>
      </c>
      <c r="D14" s="36" t="s">
        <v>129</v>
      </c>
      <c r="E14" s="47" t="n">
        <v>2</v>
      </c>
      <c r="F14" s="48"/>
      <c r="G14" s="49" t="n">
        <f aca="false">IF(C14="","",IF(F14&lt;&gt;"",F14,IF(E14="","",$C$6+E14)))</f>
        <v>46276</v>
      </c>
      <c r="H14" s="47" t="n">
        <v>7</v>
      </c>
      <c r="I14" s="49" t="n">
        <f aca="false">IF(OR(G14="",H14=""),"",G14+MAX(H14,1)-1)</f>
        <v>46282</v>
      </c>
      <c r="J14" s="47" t="n">
        <v>1</v>
      </c>
      <c r="K14" s="36" t="s">
        <v>34</v>
      </c>
      <c r="L14" s="50" t="n">
        <v>1</v>
      </c>
      <c r="M14" s="51" t="str">
        <f aca="true">IF(OR(C14="",I14=""),"",IF(AND(K14&lt;&gt;"Done",I14&lt;TODAY()),"Overdue",IF(AND(J14&lt;&gt;"",IFERROR(G14&lt;INDEX($I$12:$I$46,MATCH(J14,$A$12:$A$46,0)),FALSE())),"Check order","")))</f>
        <v/>
      </c>
      <c r="N14" s="35"/>
    </row>
    <row r="15" customFormat="false" ht="27.75" hidden="false" customHeight="true" outlineLevel="0" collapsed="false">
      <c r="A15" s="46" t="n">
        <f aca="false">IF(C15="","",ROW()-11)</f>
        <v>4</v>
      </c>
      <c r="B15" s="36" t="s">
        <v>125</v>
      </c>
      <c r="C15" s="35" t="s">
        <v>130</v>
      </c>
      <c r="D15" s="36" t="s">
        <v>129</v>
      </c>
      <c r="E15" s="47" t="n">
        <v>9</v>
      </c>
      <c r="F15" s="48"/>
      <c r="G15" s="49" t="n">
        <f aca="false">IF(C15="","",IF(F15&lt;&gt;"",F15,IF(E15="","",$C$6+E15)))</f>
        <v>46283</v>
      </c>
      <c r="H15" s="47" t="n">
        <v>5</v>
      </c>
      <c r="I15" s="49" t="n">
        <f aca="false">IF(OR(G15="",H15=""),"",G15+MAX(H15,1)-1)</f>
        <v>46287</v>
      </c>
      <c r="J15" s="47" t="n">
        <v>3</v>
      </c>
      <c r="K15" s="36" t="s">
        <v>34</v>
      </c>
      <c r="L15" s="50" t="n">
        <v>1</v>
      </c>
      <c r="M15" s="51" t="str">
        <f aca="true">IF(OR(C15="",I15=""),"",IF(AND(K15&lt;&gt;"Done",I15&lt;TODAY()),"Overdue",IF(AND(J15&lt;&gt;"",IFERROR(G15&lt;INDEX($I$12:$I$46,MATCH(J15,$A$12:$A$46,0)),FALSE())),"Check order","")))</f>
        <v/>
      </c>
      <c r="N15" s="35"/>
    </row>
    <row r="16" customFormat="false" ht="27.75" hidden="false" customHeight="true" outlineLevel="0" collapsed="false">
      <c r="A16" s="46" t="n">
        <f aca="false">IF(C16="","",ROW()-11)</f>
        <v>5</v>
      </c>
      <c r="B16" s="36" t="s">
        <v>125</v>
      </c>
      <c r="C16" s="35" t="s">
        <v>131</v>
      </c>
      <c r="D16" s="36" t="s">
        <v>132</v>
      </c>
      <c r="E16" s="47" t="n">
        <v>12</v>
      </c>
      <c r="F16" s="48"/>
      <c r="G16" s="49" t="n">
        <f aca="false">IF(C16="","",IF(F16&lt;&gt;"",F16,IF(E16="","",$C$6+E16)))</f>
        <v>46286</v>
      </c>
      <c r="H16" s="47" t="n">
        <v>4</v>
      </c>
      <c r="I16" s="49" t="n">
        <f aca="false">IF(OR(G16="",H16=""),"",G16+MAX(H16,1)-1)</f>
        <v>46289</v>
      </c>
      <c r="J16" s="47"/>
      <c r="K16" s="36" t="s">
        <v>133</v>
      </c>
      <c r="L16" s="50" t="n">
        <v>0.8</v>
      </c>
      <c r="M16" s="51" t="str">
        <f aca="true">IF(OR(C16="",I16=""),"",IF(AND(K16&lt;&gt;"Done",I16&lt;TODAY()),"Overdue",IF(AND(J16&lt;&gt;"",IFERROR(G16&lt;INDEX($I$12:$I$46,MATCH(J16,$A$12:$A$46,0)),FALSE())),"Check order","")))</f>
        <v>Overdue</v>
      </c>
      <c r="N16" s="35"/>
    </row>
    <row r="17" customFormat="false" ht="27.75" hidden="false" customHeight="true" outlineLevel="0" collapsed="false">
      <c r="A17" s="46" t="n">
        <f aca="false">IF(C17="","",ROW()-11)</f>
        <v>6</v>
      </c>
      <c r="B17" s="36" t="s">
        <v>134</v>
      </c>
      <c r="C17" s="35" t="s">
        <v>135</v>
      </c>
      <c r="D17" s="36" t="s">
        <v>129</v>
      </c>
      <c r="E17" s="47" t="n">
        <v>16</v>
      </c>
      <c r="F17" s="48"/>
      <c r="G17" s="49" t="n">
        <f aca="false">IF(C17="","",IF(F17&lt;&gt;"",F17,IF(E17="","",$C$6+E17)))</f>
        <v>46290</v>
      </c>
      <c r="H17" s="47" t="n">
        <v>7</v>
      </c>
      <c r="I17" s="49" t="n">
        <f aca="false">IF(OR(G17="",H17=""),"",G17+MAX(H17,1)-1)</f>
        <v>46296</v>
      </c>
      <c r="J17" s="47" t="n">
        <v>4</v>
      </c>
      <c r="K17" s="36" t="s">
        <v>34</v>
      </c>
      <c r="L17" s="50" t="n">
        <v>1</v>
      </c>
      <c r="M17" s="51" t="str">
        <f aca="true">IF(OR(C17="",I17=""),"",IF(AND(K17&lt;&gt;"Done",I17&lt;TODAY()),"Overdue",IF(AND(J17&lt;&gt;"",IFERROR(G17&lt;INDEX($I$12:$I$46,MATCH(J17,$A$12:$A$46,0)),FALSE())),"Check order","")))</f>
        <v/>
      </c>
      <c r="N17" s="35"/>
    </row>
    <row r="18" customFormat="false" ht="27.75" hidden="false" customHeight="true" outlineLevel="0" collapsed="false">
      <c r="A18" s="46" t="n">
        <f aca="false">IF(C18="","",ROW()-11)</f>
        <v>7</v>
      </c>
      <c r="B18" s="36" t="s">
        <v>134</v>
      </c>
      <c r="C18" s="35" t="s">
        <v>136</v>
      </c>
      <c r="D18" s="36" t="s">
        <v>129</v>
      </c>
      <c r="E18" s="47" t="n">
        <v>23</v>
      </c>
      <c r="F18" s="48"/>
      <c r="G18" s="49" t="n">
        <f aca="false">IF(C18="","",IF(F18&lt;&gt;"",F18,IF(E18="","",$C$6+E18)))</f>
        <v>46297</v>
      </c>
      <c r="H18" s="47" t="n">
        <v>10</v>
      </c>
      <c r="I18" s="49" t="n">
        <f aca="false">IF(OR(G18="",H18=""),"",G18+MAX(H18,1)-1)</f>
        <v>46306</v>
      </c>
      <c r="J18" s="47" t="n">
        <v>6</v>
      </c>
      <c r="K18" s="36" t="s">
        <v>34</v>
      </c>
      <c r="L18" s="50" t="n">
        <v>1</v>
      </c>
      <c r="M18" s="51" t="str">
        <f aca="true">IF(OR(C18="",I18=""),"",IF(AND(K18&lt;&gt;"Done",I18&lt;TODAY()),"Overdue",IF(AND(J18&lt;&gt;"",IFERROR(G18&lt;INDEX($I$12:$I$46,MATCH(J18,$A$12:$A$46,0)),FALSE())),"Check order","")))</f>
        <v/>
      </c>
      <c r="N18" s="35"/>
    </row>
    <row r="19" customFormat="false" ht="27.75" hidden="false" customHeight="true" outlineLevel="0" collapsed="false">
      <c r="A19" s="46" t="n">
        <f aca="false">IF(C19="","",ROW()-11)</f>
        <v>8</v>
      </c>
      <c r="B19" s="36" t="s">
        <v>134</v>
      </c>
      <c r="C19" s="35" t="s">
        <v>137</v>
      </c>
      <c r="D19" s="36" t="s">
        <v>56</v>
      </c>
      <c r="E19" s="47" t="n">
        <v>33</v>
      </c>
      <c r="F19" s="48"/>
      <c r="G19" s="49" t="n">
        <f aca="false">IF(C19="","",IF(F19&lt;&gt;"",F19,IF(E19="","",$C$6+E19)))</f>
        <v>46307</v>
      </c>
      <c r="H19" s="47" t="n">
        <v>4</v>
      </c>
      <c r="I19" s="49" t="n">
        <f aca="false">IF(OR(G19="",H19=""),"",G19+MAX(H19,1)-1)</f>
        <v>46310</v>
      </c>
      <c r="J19" s="47" t="n">
        <v>7</v>
      </c>
      <c r="K19" s="36" t="s">
        <v>138</v>
      </c>
      <c r="L19" s="50" t="n">
        <v>0.5</v>
      </c>
      <c r="M19" s="51" t="str">
        <f aca="true">IF(OR(C19="",I19=""),"",IF(AND(K19&lt;&gt;"Done",I19&lt;TODAY()),"Overdue",IF(AND(J19&lt;&gt;"",IFERROR(G19&lt;INDEX($I$12:$I$46,MATCH(J19,$A$12:$A$46,0)),FALSE())),"Check order","")))</f>
        <v/>
      </c>
      <c r="N19" s="35"/>
    </row>
    <row r="20" customFormat="false" ht="27.75" hidden="false" customHeight="true" outlineLevel="0" collapsed="false">
      <c r="A20" s="46" t="n">
        <f aca="false">IF(C20="","",ROW()-11)</f>
        <v>9</v>
      </c>
      <c r="B20" s="36" t="s">
        <v>139</v>
      </c>
      <c r="C20" s="35" t="s">
        <v>140</v>
      </c>
      <c r="D20" s="36" t="s">
        <v>132</v>
      </c>
      <c r="E20" s="47" t="n">
        <v>16</v>
      </c>
      <c r="F20" s="48"/>
      <c r="G20" s="49" t="n">
        <f aca="false">IF(C20="","",IF(F20&lt;&gt;"",F20,IF(E20="","",$C$6+E20)))</f>
        <v>46290</v>
      </c>
      <c r="H20" s="47" t="n">
        <v>21</v>
      </c>
      <c r="I20" s="49" t="n">
        <f aca="false">IF(OR(G20="",H20=""),"",G20+MAX(H20,1)-1)</f>
        <v>46310</v>
      </c>
      <c r="J20" s="47" t="n">
        <v>5</v>
      </c>
      <c r="K20" s="36" t="s">
        <v>133</v>
      </c>
      <c r="L20" s="50" t="n">
        <v>0.9</v>
      </c>
      <c r="M20" s="51" t="str">
        <f aca="true">IF(OR(C20="",I20=""),"",IF(AND(K20&lt;&gt;"Done",I20&lt;TODAY()),"Overdue",IF(AND(J20&lt;&gt;"",IFERROR(G20&lt;INDEX($I$12:$I$46,MATCH(J20,$A$12:$A$46,0)),FALSE())),"Check order","")))</f>
        <v/>
      </c>
      <c r="N20" s="35"/>
    </row>
    <row r="21" customFormat="false" ht="27.75" hidden="false" customHeight="true" outlineLevel="0" collapsed="false">
      <c r="A21" s="46" t="n">
        <f aca="false">IF(C21="","",ROW()-11)</f>
        <v>10</v>
      </c>
      <c r="B21" s="36" t="s">
        <v>139</v>
      </c>
      <c r="C21" s="35" t="s">
        <v>141</v>
      </c>
      <c r="D21" s="36" t="s">
        <v>132</v>
      </c>
      <c r="E21" s="47" t="n">
        <v>20</v>
      </c>
      <c r="F21" s="48"/>
      <c r="G21" s="49" t="n">
        <f aca="false">IF(C21="","",IF(F21&lt;&gt;"",F21,IF(E21="","",$C$6+E21)))</f>
        <v>46294</v>
      </c>
      <c r="H21" s="47" t="n">
        <v>21</v>
      </c>
      <c r="I21" s="49" t="n">
        <f aca="false">IF(OR(G21="",H21=""),"",G21+MAX(H21,1)-1)</f>
        <v>46314</v>
      </c>
      <c r="J21" s="47" t="n">
        <v>5</v>
      </c>
      <c r="K21" s="36" t="s">
        <v>133</v>
      </c>
      <c r="L21" s="50" t="n">
        <v>0.7</v>
      </c>
      <c r="M21" s="51" t="str">
        <f aca="true">IF(OR(C21="",I21=""),"",IF(AND(K21&lt;&gt;"Done",I21&lt;TODAY()),"Overdue",IF(AND(J21&lt;&gt;"",IFERROR(G21&lt;INDEX($I$12:$I$46,MATCH(J21,$A$12:$A$46,0)),FALSE())),"Check order","")))</f>
        <v/>
      </c>
      <c r="N21" s="35"/>
    </row>
    <row r="22" customFormat="false" ht="27.75" hidden="false" customHeight="true" outlineLevel="0" collapsed="false">
      <c r="A22" s="46" t="n">
        <f aca="false">IF(C22="","",ROW()-11)</f>
        <v>11</v>
      </c>
      <c r="B22" s="36" t="s">
        <v>139</v>
      </c>
      <c r="C22" s="35" t="s">
        <v>142</v>
      </c>
      <c r="D22" s="36" t="s">
        <v>129</v>
      </c>
      <c r="E22" s="47" t="n">
        <v>30</v>
      </c>
      <c r="F22" s="48"/>
      <c r="G22" s="49" t="n">
        <f aca="false">IF(C22="","",IF(F22&lt;&gt;"",F22,IF(E22="","",$C$6+E22)))</f>
        <v>46304</v>
      </c>
      <c r="H22" s="47" t="n">
        <v>7</v>
      </c>
      <c r="I22" s="49" t="n">
        <f aca="false">IF(OR(G22="",H22=""),"",G22+MAX(H22,1)-1)</f>
        <v>46310</v>
      </c>
      <c r="J22" s="47"/>
      <c r="K22" s="36" t="s">
        <v>133</v>
      </c>
      <c r="L22" s="50" t="n">
        <v>0.7</v>
      </c>
      <c r="M22" s="51" t="str">
        <f aca="true">IF(OR(C22="",I22=""),"",IF(AND(K22&lt;&gt;"Done",I22&lt;TODAY()),"Overdue",IF(AND(J22&lt;&gt;"",IFERROR(G22&lt;INDEX($I$12:$I$46,MATCH(J22,$A$12:$A$46,0)),FALSE())),"Check order","")))</f>
        <v/>
      </c>
      <c r="N22" s="35"/>
    </row>
    <row r="23" customFormat="false" ht="27.75" hidden="false" customHeight="true" outlineLevel="0" collapsed="false">
      <c r="A23" s="46" t="n">
        <f aca="false">IF(C23="","",ROW()-11)</f>
        <v>12</v>
      </c>
      <c r="B23" s="36" t="s">
        <v>139</v>
      </c>
      <c r="C23" s="35" t="s">
        <v>143</v>
      </c>
      <c r="D23" s="36" t="s">
        <v>56</v>
      </c>
      <c r="E23" s="47" t="n">
        <v>37</v>
      </c>
      <c r="F23" s="48"/>
      <c r="G23" s="49" t="n">
        <f aca="false">IF(C23="","",IF(F23&lt;&gt;"",F23,IF(E23="","",$C$6+E23)))</f>
        <v>46311</v>
      </c>
      <c r="H23" s="47" t="n">
        <v>5</v>
      </c>
      <c r="I23" s="49" t="n">
        <f aca="false">IF(OR(G23="",H23=""),"",G23+MAX(H23,1)-1)</f>
        <v>46315</v>
      </c>
      <c r="J23" s="47" t="n">
        <v>9</v>
      </c>
      <c r="K23" s="36" t="s">
        <v>144</v>
      </c>
      <c r="L23" s="50"/>
      <c r="M23" s="51" t="str">
        <f aca="true">IF(OR(C23="",I23=""),"",IF(AND(K23&lt;&gt;"Done",I23&lt;TODAY()),"Overdue",IF(AND(J23&lt;&gt;"",IFERROR(G23&lt;INDEX($I$12:$I$46,MATCH(J23,$A$12:$A$46,0)),FALSE())),"Check order","")))</f>
        <v/>
      </c>
      <c r="N23" s="35"/>
    </row>
    <row r="24" customFormat="false" ht="27.75" hidden="false" customHeight="true" outlineLevel="0" collapsed="false">
      <c r="A24" s="46" t="n">
        <f aca="false">IF(C24="","",ROW()-11)</f>
        <v>13</v>
      </c>
      <c r="B24" s="36" t="s">
        <v>145</v>
      </c>
      <c r="C24" s="35" t="s">
        <v>146</v>
      </c>
      <c r="D24" s="36" t="s">
        <v>129</v>
      </c>
      <c r="E24" s="47" t="n">
        <v>37</v>
      </c>
      <c r="F24" s="48"/>
      <c r="G24" s="49" t="n">
        <f aca="false">IF(C24="","",IF(F24&lt;&gt;"",F24,IF(E24="","",$C$6+E24)))</f>
        <v>46311</v>
      </c>
      <c r="H24" s="47" t="n">
        <v>14</v>
      </c>
      <c r="I24" s="49" t="n">
        <f aca="false">IF(OR(G24="",H24=""),"",G24+MAX(H24,1)-1)</f>
        <v>46324</v>
      </c>
      <c r="J24" s="47" t="n">
        <v>8</v>
      </c>
      <c r="K24" s="36" t="s">
        <v>144</v>
      </c>
      <c r="L24" s="50"/>
      <c r="M24" s="51" t="str">
        <f aca="true">IF(OR(C24="",I24=""),"",IF(AND(K24&lt;&gt;"Done",I24&lt;TODAY()),"Overdue",IF(AND(J24&lt;&gt;"",IFERROR(G24&lt;INDEX($I$12:$I$46,MATCH(J24,$A$12:$A$46,0)),FALSE())),"Check order","")))</f>
        <v/>
      </c>
      <c r="N24" s="35"/>
    </row>
    <row r="25" customFormat="false" ht="27.75" hidden="false" customHeight="true" outlineLevel="0" collapsed="false">
      <c r="A25" s="46" t="n">
        <f aca="false">IF(C25="","",ROW()-11)</f>
        <v>14</v>
      </c>
      <c r="B25" s="36" t="s">
        <v>145</v>
      </c>
      <c r="C25" s="35" t="s">
        <v>147</v>
      </c>
      <c r="D25" s="36" t="s">
        <v>129</v>
      </c>
      <c r="E25" s="47" t="n">
        <v>51</v>
      </c>
      <c r="F25" s="48"/>
      <c r="G25" s="49" t="n">
        <f aca="false">IF(C25="","",IF(F25&lt;&gt;"",F25,IF(E25="","",$C$6+E25)))</f>
        <v>46325</v>
      </c>
      <c r="H25" s="47" t="n">
        <v>7</v>
      </c>
      <c r="I25" s="49" t="n">
        <f aca="false">IF(OR(G25="",H25=""),"",G25+MAX(H25,1)-1)</f>
        <v>46331</v>
      </c>
      <c r="J25" s="47" t="n">
        <v>13</v>
      </c>
      <c r="K25" s="36" t="s">
        <v>144</v>
      </c>
      <c r="L25" s="50"/>
      <c r="M25" s="51" t="str">
        <f aca="true">IF(OR(C25="",I25=""),"",IF(AND(K25&lt;&gt;"Done",I25&lt;TODAY()),"Overdue",IF(AND(J25&lt;&gt;"",IFERROR(G25&lt;INDEX($I$12:$I$46,MATCH(J25,$A$12:$A$46,0)),FALSE())),"Check order","")))</f>
        <v/>
      </c>
      <c r="N25" s="35"/>
    </row>
    <row r="26" customFormat="false" ht="27.75" hidden="false" customHeight="true" outlineLevel="0" collapsed="false">
      <c r="A26" s="46" t="n">
        <f aca="false">IF(C26="","",ROW()-11)</f>
        <v>15</v>
      </c>
      <c r="B26" s="36" t="s">
        <v>145</v>
      </c>
      <c r="C26" s="35" t="s">
        <v>148</v>
      </c>
      <c r="D26" s="36" t="s">
        <v>129</v>
      </c>
      <c r="E26" s="47" t="n">
        <v>51</v>
      </c>
      <c r="F26" s="48"/>
      <c r="G26" s="49" t="n">
        <f aca="false">IF(C26="","",IF(F26&lt;&gt;"",F26,IF(E26="","",$C$6+E26)))</f>
        <v>46325</v>
      </c>
      <c r="H26" s="47" t="n">
        <v>5</v>
      </c>
      <c r="I26" s="49" t="n">
        <f aca="false">IF(OR(G26="",H26=""),"",G26+MAX(H26,1)-1)</f>
        <v>46329</v>
      </c>
      <c r="J26" s="47" t="n">
        <v>13</v>
      </c>
      <c r="K26" s="36" t="s">
        <v>144</v>
      </c>
      <c r="L26" s="50"/>
      <c r="M26" s="51" t="str">
        <f aca="true">IF(OR(C26="",I26=""),"",IF(AND(K26&lt;&gt;"Done",I26&lt;TODAY()),"Overdue",IF(AND(J26&lt;&gt;"",IFERROR(G26&lt;INDEX($I$12:$I$46,MATCH(J26,$A$12:$A$46,0)),FALSE())),"Check order","")))</f>
        <v/>
      </c>
      <c r="N26" s="35"/>
    </row>
    <row r="27" customFormat="false" ht="27.75" hidden="false" customHeight="true" outlineLevel="0" collapsed="false">
      <c r="A27" s="46" t="n">
        <f aca="false">IF(C27="","",ROW()-11)</f>
        <v>16</v>
      </c>
      <c r="B27" s="36" t="s">
        <v>145</v>
      </c>
      <c r="C27" s="35" t="s">
        <v>149</v>
      </c>
      <c r="D27" s="36" t="s">
        <v>129</v>
      </c>
      <c r="E27" s="47" t="n">
        <v>56</v>
      </c>
      <c r="F27" s="48"/>
      <c r="G27" s="49" t="n">
        <f aca="false">IF(C27="","",IF(F27&lt;&gt;"",F27,IF(E27="","",$C$6+E27)))</f>
        <v>46330</v>
      </c>
      <c r="H27" s="47" t="n">
        <v>3</v>
      </c>
      <c r="I27" s="49" t="n">
        <f aca="false">IF(OR(G27="",H27=""),"",G27+MAX(H27,1)-1)</f>
        <v>46332</v>
      </c>
      <c r="J27" s="47" t="n">
        <v>4</v>
      </c>
      <c r="K27" s="36" t="s">
        <v>144</v>
      </c>
      <c r="L27" s="50"/>
      <c r="M27" s="51" t="str">
        <f aca="true">IF(OR(C27="",I27=""),"",IF(AND(K27&lt;&gt;"Done",I27&lt;TODAY()),"Overdue",IF(AND(J27&lt;&gt;"",IFERROR(G27&lt;INDEX($I$12:$I$46,MATCH(J27,$A$12:$A$46,0)),FALSE())),"Check order","")))</f>
        <v/>
      </c>
      <c r="N27" s="35"/>
    </row>
    <row r="28" customFormat="false" ht="27.75" hidden="false" customHeight="true" outlineLevel="0" collapsed="false">
      <c r="A28" s="46" t="n">
        <f aca="false">IF(C28="","",ROW()-11)</f>
        <v>17</v>
      </c>
      <c r="B28" s="36" t="s">
        <v>150</v>
      </c>
      <c r="C28" s="35" t="s">
        <v>151</v>
      </c>
      <c r="D28" s="36" t="s">
        <v>129</v>
      </c>
      <c r="E28" s="47" t="n">
        <v>58</v>
      </c>
      <c r="F28" s="48"/>
      <c r="G28" s="49" t="n">
        <f aca="false">IF(C28="","",IF(F28&lt;&gt;"",F28,IF(E28="","",$C$6+E28)))</f>
        <v>46332</v>
      </c>
      <c r="H28" s="47" t="n">
        <v>5</v>
      </c>
      <c r="I28" s="49" t="n">
        <f aca="false">IF(OR(G28="",H28=""),"",G28+MAX(H28,1)-1)</f>
        <v>46336</v>
      </c>
      <c r="J28" s="47" t="n">
        <v>14</v>
      </c>
      <c r="K28" s="36" t="s">
        <v>144</v>
      </c>
      <c r="L28" s="50"/>
      <c r="M28" s="51" t="str">
        <f aca="true">IF(OR(C28="",I28=""),"",IF(AND(K28&lt;&gt;"Done",I28&lt;TODAY()),"Overdue",IF(AND(J28&lt;&gt;"",IFERROR(G28&lt;INDEX($I$12:$I$46,MATCH(J28,$A$12:$A$46,0)),FALSE())),"Check order","")))</f>
        <v/>
      </c>
      <c r="N28" s="35"/>
    </row>
    <row r="29" customFormat="false" ht="27.75" hidden="false" customHeight="true" outlineLevel="0" collapsed="false">
      <c r="A29" s="46" t="n">
        <f aca="false">IF(C29="","",ROW()-11)</f>
        <v>18</v>
      </c>
      <c r="B29" s="36" t="s">
        <v>150</v>
      </c>
      <c r="C29" s="35" t="s">
        <v>152</v>
      </c>
      <c r="D29" s="36" t="s">
        <v>129</v>
      </c>
      <c r="E29" s="47" t="n">
        <v>60</v>
      </c>
      <c r="F29" s="48"/>
      <c r="G29" s="49" t="n">
        <f aca="false">IF(C29="","",IF(F29&lt;&gt;"",F29,IF(E29="","",$C$6+E29)))</f>
        <v>46334</v>
      </c>
      <c r="H29" s="47" t="n">
        <v>3</v>
      </c>
      <c r="I29" s="49" t="n">
        <f aca="false">IF(OR(G29="",H29=""),"",G29+MAX(H29,1)-1)</f>
        <v>46336</v>
      </c>
      <c r="J29" s="47" t="n">
        <v>14</v>
      </c>
      <c r="K29" s="36" t="s">
        <v>144</v>
      </c>
      <c r="L29" s="50"/>
      <c r="M29" s="51" t="str">
        <f aca="true">IF(OR(C29="",I29=""),"",IF(AND(K29&lt;&gt;"Done",I29&lt;TODAY()),"Overdue",IF(AND(J29&lt;&gt;"",IFERROR(G29&lt;INDEX($I$12:$I$46,MATCH(J29,$A$12:$A$46,0)),FALSE())),"Check order","")))</f>
        <v/>
      </c>
      <c r="N29" s="35"/>
    </row>
    <row r="30" customFormat="false" ht="27.75" hidden="false" customHeight="true" outlineLevel="0" collapsed="false">
      <c r="A30" s="46" t="n">
        <f aca="false">IF(C30="","",ROW()-11)</f>
        <v>19</v>
      </c>
      <c r="B30" s="36" t="s">
        <v>150</v>
      </c>
      <c r="C30" s="35" t="s">
        <v>153</v>
      </c>
      <c r="D30" s="36" t="s">
        <v>56</v>
      </c>
      <c r="E30" s="47" t="n">
        <v>63</v>
      </c>
      <c r="F30" s="48"/>
      <c r="G30" s="49" t="n">
        <f aca="false">IF(C30="","",IF(F30&lt;&gt;"",F30,IF(E30="","",$C$6+E30)))</f>
        <v>46337</v>
      </c>
      <c r="H30" s="47" t="n">
        <v>2</v>
      </c>
      <c r="I30" s="49" t="n">
        <f aca="false">IF(OR(G30="",H30=""),"",G30+MAX(H30,1)-1)</f>
        <v>46338</v>
      </c>
      <c r="J30" s="47" t="n">
        <v>17</v>
      </c>
      <c r="K30" s="36" t="s">
        <v>144</v>
      </c>
      <c r="L30" s="50"/>
      <c r="M30" s="51" t="str">
        <f aca="true">IF(OR(C30="",I30=""),"",IF(AND(K30&lt;&gt;"Done",I30&lt;TODAY()),"Overdue",IF(AND(J30&lt;&gt;"",IFERROR(G30&lt;INDEX($I$12:$I$46,MATCH(J30,$A$12:$A$46,0)),FALSE())),"Check order","")))</f>
        <v/>
      </c>
      <c r="N30" s="35"/>
    </row>
    <row r="31" customFormat="false" ht="27.75" hidden="false" customHeight="true" outlineLevel="0" collapsed="false">
      <c r="A31" s="46" t="n">
        <f aca="false">IF(C31="","",ROW()-11)</f>
        <v>20</v>
      </c>
      <c r="B31" s="36" t="s">
        <v>150</v>
      </c>
      <c r="C31" s="35" t="s">
        <v>154</v>
      </c>
      <c r="D31" s="36" t="s">
        <v>129</v>
      </c>
      <c r="E31" s="47" t="n">
        <v>65</v>
      </c>
      <c r="F31" s="48"/>
      <c r="G31" s="49" t="n">
        <f aca="false">IF(C31="","",IF(F31&lt;&gt;"",F31,IF(E31="","",$C$6+E31)))</f>
        <v>46339</v>
      </c>
      <c r="H31" s="47" t="n">
        <v>1</v>
      </c>
      <c r="I31" s="49" t="n">
        <f aca="false">IF(OR(G31="",H31=""),"",G31+MAX(H31,1)-1)</f>
        <v>46339</v>
      </c>
      <c r="J31" s="47" t="n">
        <v>19</v>
      </c>
      <c r="K31" s="36" t="s">
        <v>144</v>
      </c>
      <c r="L31" s="50"/>
      <c r="M31" s="51" t="str">
        <f aca="true">IF(OR(C31="",I31=""),"",IF(AND(K31&lt;&gt;"Done",I31&lt;TODAY()),"Overdue",IF(AND(J31&lt;&gt;"",IFERROR(G31&lt;INDEX($I$12:$I$46,MATCH(J31,$A$12:$A$46,0)),FALSE())),"Check order","")))</f>
        <v/>
      </c>
      <c r="N31" s="35"/>
    </row>
    <row r="32" customFormat="false" ht="27.75" hidden="false" customHeight="true" outlineLevel="0" collapsed="false">
      <c r="A32" s="46" t="n">
        <f aca="false">IF(C32="","",ROW()-11)</f>
        <v>21</v>
      </c>
      <c r="B32" s="36" t="s">
        <v>155</v>
      </c>
      <c r="C32" s="35" t="s">
        <v>156</v>
      </c>
      <c r="D32" s="36" t="s">
        <v>129</v>
      </c>
      <c r="E32" s="47" t="n">
        <v>66</v>
      </c>
      <c r="F32" s="48"/>
      <c r="G32" s="49" t="n">
        <f aca="false">IF(C32="","",IF(F32&lt;&gt;"",F32,IF(E32="","",$C$6+E32)))</f>
        <v>46340</v>
      </c>
      <c r="H32" s="47" t="n">
        <v>2</v>
      </c>
      <c r="I32" s="49" t="n">
        <f aca="false">IF(OR(G32="",H32=""),"",G32+MAX(H32,1)-1)</f>
        <v>46341</v>
      </c>
      <c r="J32" s="47" t="n">
        <v>20</v>
      </c>
      <c r="K32" s="36" t="s">
        <v>144</v>
      </c>
      <c r="L32" s="50"/>
      <c r="M32" s="51" t="str">
        <f aca="true">IF(OR(C32="",I32=""),"",IF(AND(K32&lt;&gt;"Done",I32&lt;TODAY()),"Overdue",IF(AND(J32&lt;&gt;"",IFERROR(G32&lt;INDEX($I$12:$I$46,MATCH(J32,$A$12:$A$46,0)),FALSE())),"Check order","")))</f>
        <v/>
      </c>
      <c r="N32" s="35"/>
    </row>
    <row r="33" customFormat="false" ht="27.75" hidden="false" customHeight="true" outlineLevel="0" collapsed="false">
      <c r="A33" s="46" t="n">
        <f aca="false">IF(C33="","",ROW()-11)</f>
        <v>22</v>
      </c>
      <c r="B33" s="36" t="s">
        <v>155</v>
      </c>
      <c r="C33" s="35" t="s">
        <v>157</v>
      </c>
      <c r="D33" s="36" t="s">
        <v>129</v>
      </c>
      <c r="E33" s="47" t="n">
        <v>66</v>
      </c>
      <c r="F33" s="48"/>
      <c r="G33" s="49" t="n">
        <f aca="false">IF(C33="","",IF(F33&lt;&gt;"",F33,IF(E33="","",$C$6+E33)))</f>
        <v>46340</v>
      </c>
      <c r="H33" s="47" t="n">
        <v>14</v>
      </c>
      <c r="I33" s="49" t="n">
        <f aca="false">IF(OR(G33="",H33=""),"",G33+MAX(H33,1)-1)</f>
        <v>46353</v>
      </c>
      <c r="J33" s="47" t="n">
        <v>20</v>
      </c>
      <c r="K33" s="36" t="s">
        <v>144</v>
      </c>
      <c r="L33" s="50"/>
      <c r="M33" s="51" t="str">
        <f aca="true">IF(OR(C33="",I33=""),"",IF(AND(K33&lt;&gt;"Done",I33&lt;TODAY()),"Overdue",IF(AND(J33&lt;&gt;"",IFERROR(G33&lt;INDEX($I$12:$I$46,MATCH(J33,$A$12:$A$46,0)),FALSE())),"Check order","")))</f>
        <v/>
      </c>
      <c r="N33" s="35"/>
    </row>
    <row r="34" customFormat="false" ht="27.75" hidden="false" customHeight="true" outlineLevel="0" collapsed="false">
      <c r="A34" s="46" t="n">
        <f aca="false">IF(C34="","",ROW()-11)</f>
        <v>23</v>
      </c>
      <c r="B34" s="36" t="s">
        <v>155</v>
      </c>
      <c r="C34" s="35" t="s">
        <v>158</v>
      </c>
      <c r="D34" s="36" t="s">
        <v>56</v>
      </c>
      <c r="E34" s="47" t="n">
        <v>95</v>
      </c>
      <c r="F34" s="48"/>
      <c r="G34" s="49" t="n">
        <f aca="false">IF(C34="","",IF(F34&lt;&gt;"",F34,IF(E34="","",$C$6+E34)))</f>
        <v>46369</v>
      </c>
      <c r="H34" s="47" t="n">
        <v>1</v>
      </c>
      <c r="I34" s="49" t="n">
        <f aca="false">IF(OR(G34="",H34=""),"",G34+MAX(H34,1)-1)</f>
        <v>46369</v>
      </c>
      <c r="J34" s="47" t="n">
        <v>20</v>
      </c>
      <c r="K34" s="36" t="s">
        <v>144</v>
      </c>
      <c r="L34" s="50"/>
      <c r="M34" s="51" t="str">
        <f aca="true">IF(OR(C34="",I34=""),"",IF(AND(K34&lt;&gt;"Done",I34&lt;TODAY()),"Overdue",IF(AND(J34&lt;&gt;"",IFERROR(G34&lt;INDEX($I$12:$I$46,MATCH(J34,$A$12:$A$46,0)),FALSE())),"Check order","")))</f>
        <v/>
      </c>
      <c r="N34" s="35"/>
    </row>
    <row r="35" customFormat="false" ht="15" hidden="false" customHeight="true" outlineLevel="0" collapsed="false">
      <c r="A35" s="46" t="str">
        <f aca="false">IF(C35="","",ROW()-11)</f>
        <v/>
      </c>
      <c r="B35" s="36"/>
      <c r="C35" s="35"/>
      <c r="D35" s="36"/>
      <c r="E35" s="47"/>
      <c r="F35" s="48"/>
      <c r="G35" s="49" t="str">
        <f aca="false">IF(C35="","",IF(F35&lt;&gt;"",F35,IF(E35="","",$C$6+E35)))</f>
        <v/>
      </c>
      <c r="H35" s="47"/>
      <c r="I35" s="49" t="str">
        <f aca="false">IF(OR(G35="",H35=""),"",G35+MAX(H35,1)-1)</f>
        <v/>
      </c>
      <c r="J35" s="47"/>
      <c r="K35" s="36"/>
      <c r="L35" s="50"/>
      <c r="M35" s="51" t="str">
        <f aca="true">IF(OR(C35="",I35=""),"",IF(AND(K35&lt;&gt;"Done",I35&lt;TODAY()),"Overdue",IF(AND(J35&lt;&gt;"",IFERROR(G35&lt;INDEX($I$12:$I$46,MATCH(J35,$A$12:$A$46,0)),FALSE())),"Check order","")))</f>
        <v/>
      </c>
      <c r="N35" s="35"/>
    </row>
    <row r="36" customFormat="false" ht="15" hidden="false" customHeight="true" outlineLevel="0" collapsed="false">
      <c r="A36" s="46" t="str">
        <f aca="false">IF(C36="","",ROW()-11)</f>
        <v/>
      </c>
      <c r="B36" s="36"/>
      <c r="C36" s="35"/>
      <c r="D36" s="36"/>
      <c r="E36" s="47"/>
      <c r="F36" s="48"/>
      <c r="G36" s="49" t="str">
        <f aca="false">IF(C36="","",IF(F36&lt;&gt;"",F36,IF(E36="","",$C$6+E36)))</f>
        <v/>
      </c>
      <c r="H36" s="47"/>
      <c r="I36" s="49" t="str">
        <f aca="false">IF(OR(G36="",H36=""),"",G36+MAX(H36,1)-1)</f>
        <v/>
      </c>
      <c r="J36" s="47"/>
      <c r="K36" s="36"/>
      <c r="L36" s="50"/>
      <c r="M36" s="51" t="str">
        <f aca="true">IF(OR(C36="",I36=""),"",IF(AND(K36&lt;&gt;"Done",I36&lt;TODAY()),"Overdue",IF(AND(J36&lt;&gt;"",IFERROR(G36&lt;INDEX($I$12:$I$46,MATCH(J36,$A$12:$A$46,0)),FALSE())),"Check order","")))</f>
        <v/>
      </c>
      <c r="N36" s="35"/>
    </row>
    <row r="37" customFormat="false" ht="15" hidden="false" customHeight="true" outlineLevel="0" collapsed="false">
      <c r="A37" s="46" t="str">
        <f aca="false">IF(C37="","",ROW()-11)</f>
        <v/>
      </c>
      <c r="B37" s="36"/>
      <c r="C37" s="35"/>
      <c r="D37" s="36"/>
      <c r="E37" s="47"/>
      <c r="F37" s="48"/>
      <c r="G37" s="49" t="str">
        <f aca="false">IF(C37="","",IF(F37&lt;&gt;"",F37,IF(E37="","",$C$6+E37)))</f>
        <v/>
      </c>
      <c r="H37" s="47"/>
      <c r="I37" s="49" t="str">
        <f aca="false">IF(OR(G37="",H37=""),"",G37+MAX(H37,1)-1)</f>
        <v/>
      </c>
      <c r="J37" s="47"/>
      <c r="K37" s="36"/>
      <c r="L37" s="50"/>
      <c r="M37" s="51" t="str">
        <f aca="true">IF(OR(C37="",I37=""),"",IF(AND(K37&lt;&gt;"Done",I37&lt;TODAY()),"Overdue",IF(AND(J37&lt;&gt;"",IFERROR(G37&lt;INDEX($I$12:$I$46,MATCH(J37,$A$12:$A$46,0)),FALSE())),"Check order","")))</f>
        <v/>
      </c>
      <c r="N37" s="35"/>
    </row>
    <row r="38" customFormat="false" ht="15" hidden="false" customHeight="true" outlineLevel="0" collapsed="false">
      <c r="A38" s="46" t="str">
        <f aca="false">IF(C38="","",ROW()-11)</f>
        <v/>
      </c>
      <c r="B38" s="36"/>
      <c r="C38" s="35"/>
      <c r="D38" s="36"/>
      <c r="E38" s="47"/>
      <c r="F38" s="48"/>
      <c r="G38" s="49" t="str">
        <f aca="false">IF(C38="","",IF(F38&lt;&gt;"",F38,IF(E38="","",$C$6+E38)))</f>
        <v/>
      </c>
      <c r="H38" s="47"/>
      <c r="I38" s="49" t="str">
        <f aca="false">IF(OR(G38="",H38=""),"",G38+MAX(H38,1)-1)</f>
        <v/>
      </c>
      <c r="J38" s="47"/>
      <c r="K38" s="36"/>
      <c r="L38" s="50"/>
      <c r="M38" s="51" t="str">
        <f aca="true">IF(OR(C38="",I38=""),"",IF(AND(K38&lt;&gt;"Done",I38&lt;TODAY()),"Overdue",IF(AND(J38&lt;&gt;"",IFERROR(G38&lt;INDEX($I$12:$I$46,MATCH(J38,$A$12:$A$46,0)),FALSE())),"Check order","")))</f>
        <v/>
      </c>
      <c r="N38" s="35"/>
    </row>
    <row r="39" customFormat="false" ht="15" hidden="false" customHeight="true" outlineLevel="0" collapsed="false">
      <c r="A39" s="46" t="str">
        <f aca="false">IF(C39="","",ROW()-11)</f>
        <v/>
      </c>
      <c r="B39" s="36"/>
      <c r="C39" s="35"/>
      <c r="D39" s="36"/>
      <c r="E39" s="47"/>
      <c r="F39" s="48"/>
      <c r="G39" s="49" t="str">
        <f aca="false">IF(C39="","",IF(F39&lt;&gt;"",F39,IF(E39="","",$C$6+E39)))</f>
        <v/>
      </c>
      <c r="H39" s="47"/>
      <c r="I39" s="49" t="str">
        <f aca="false">IF(OR(G39="",H39=""),"",G39+MAX(H39,1)-1)</f>
        <v/>
      </c>
      <c r="J39" s="47"/>
      <c r="K39" s="36"/>
      <c r="L39" s="50"/>
      <c r="M39" s="51" t="str">
        <f aca="true">IF(OR(C39="",I39=""),"",IF(AND(K39&lt;&gt;"Done",I39&lt;TODAY()),"Overdue",IF(AND(J39&lt;&gt;"",IFERROR(G39&lt;INDEX($I$12:$I$46,MATCH(J39,$A$12:$A$46,0)),FALSE())),"Check order","")))</f>
        <v/>
      </c>
      <c r="N39" s="35"/>
    </row>
    <row r="40" customFormat="false" ht="15" hidden="false" customHeight="true" outlineLevel="0" collapsed="false">
      <c r="A40" s="46" t="str">
        <f aca="false">IF(C40="","",ROW()-11)</f>
        <v/>
      </c>
      <c r="B40" s="36"/>
      <c r="C40" s="35"/>
      <c r="D40" s="36"/>
      <c r="E40" s="47"/>
      <c r="F40" s="48"/>
      <c r="G40" s="49" t="str">
        <f aca="false">IF(C40="","",IF(F40&lt;&gt;"",F40,IF(E40="","",$C$6+E40)))</f>
        <v/>
      </c>
      <c r="H40" s="47"/>
      <c r="I40" s="49" t="str">
        <f aca="false">IF(OR(G40="",H40=""),"",G40+MAX(H40,1)-1)</f>
        <v/>
      </c>
      <c r="J40" s="47"/>
      <c r="K40" s="36"/>
      <c r="L40" s="50"/>
      <c r="M40" s="51" t="str">
        <f aca="true">IF(OR(C40="",I40=""),"",IF(AND(K40&lt;&gt;"Done",I40&lt;TODAY()),"Overdue",IF(AND(J40&lt;&gt;"",IFERROR(G40&lt;INDEX($I$12:$I$46,MATCH(J40,$A$12:$A$46,0)),FALSE())),"Check order","")))</f>
        <v/>
      </c>
      <c r="N40" s="35"/>
    </row>
    <row r="41" customFormat="false" ht="15" hidden="false" customHeight="true" outlineLevel="0" collapsed="false">
      <c r="A41" s="46" t="str">
        <f aca="false">IF(C41="","",ROW()-11)</f>
        <v/>
      </c>
      <c r="B41" s="36"/>
      <c r="C41" s="35"/>
      <c r="D41" s="36"/>
      <c r="E41" s="47"/>
      <c r="F41" s="48"/>
      <c r="G41" s="49" t="str">
        <f aca="false">IF(C41="","",IF(F41&lt;&gt;"",F41,IF(E41="","",$C$6+E41)))</f>
        <v/>
      </c>
      <c r="H41" s="47"/>
      <c r="I41" s="49" t="str">
        <f aca="false">IF(OR(G41="",H41=""),"",G41+MAX(H41,1)-1)</f>
        <v/>
      </c>
      <c r="J41" s="47"/>
      <c r="K41" s="36"/>
      <c r="L41" s="50"/>
      <c r="M41" s="51" t="str">
        <f aca="true">IF(OR(C41="",I41=""),"",IF(AND(K41&lt;&gt;"Done",I41&lt;TODAY()),"Overdue",IF(AND(J41&lt;&gt;"",IFERROR(G41&lt;INDEX($I$12:$I$46,MATCH(J41,$A$12:$A$46,0)),FALSE())),"Check order","")))</f>
        <v/>
      </c>
      <c r="N41" s="35"/>
    </row>
    <row r="42" customFormat="false" ht="15" hidden="false" customHeight="true" outlineLevel="0" collapsed="false">
      <c r="A42" s="46" t="str">
        <f aca="false">IF(C42="","",ROW()-11)</f>
        <v/>
      </c>
      <c r="B42" s="36"/>
      <c r="C42" s="35"/>
      <c r="D42" s="36"/>
      <c r="E42" s="47"/>
      <c r="F42" s="48"/>
      <c r="G42" s="49" t="str">
        <f aca="false">IF(C42="","",IF(F42&lt;&gt;"",F42,IF(E42="","",$C$6+E42)))</f>
        <v/>
      </c>
      <c r="H42" s="47"/>
      <c r="I42" s="49" t="str">
        <f aca="false">IF(OR(G42="",H42=""),"",G42+MAX(H42,1)-1)</f>
        <v/>
      </c>
      <c r="J42" s="47"/>
      <c r="K42" s="36"/>
      <c r="L42" s="50"/>
      <c r="M42" s="51" t="str">
        <f aca="true">IF(OR(C42="",I42=""),"",IF(AND(K42&lt;&gt;"Done",I42&lt;TODAY()),"Overdue",IF(AND(J42&lt;&gt;"",IFERROR(G42&lt;INDEX($I$12:$I$46,MATCH(J42,$A$12:$A$46,0)),FALSE())),"Check order","")))</f>
        <v/>
      </c>
      <c r="N42" s="35"/>
    </row>
    <row r="43" customFormat="false" ht="15" hidden="false" customHeight="true" outlineLevel="0" collapsed="false">
      <c r="A43" s="46" t="str">
        <f aca="false">IF(C43="","",ROW()-11)</f>
        <v/>
      </c>
      <c r="B43" s="36"/>
      <c r="C43" s="35"/>
      <c r="D43" s="36"/>
      <c r="E43" s="47"/>
      <c r="F43" s="48"/>
      <c r="G43" s="49" t="str">
        <f aca="false">IF(C43="","",IF(F43&lt;&gt;"",F43,IF(E43="","",$C$6+E43)))</f>
        <v/>
      </c>
      <c r="H43" s="47"/>
      <c r="I43" s="49" t="str">
        <f aca="false">IF(OR(G43="",H43=""),"",G43+MAX(H43,1)-1)</f>
        <v/>
      </c>
      <c r="J43" s="47"/>
      <c r="K43" s="36"/>
      <c r="L43" s="50"/>
      <c r="M43" s="51" t="str">
        <f aca="true">IF(OR(C43="",I43=""),"",IF(AND(K43&lt;&gt;"Done",I43&lt;TODAY()),"Overdue",IF(AND(J43&lt;&gt;"",IFERROR(G43&lt;INDEX($I$12:$I$46,MATCH(J43,$A$12:$A$46,0)),FALSE())),"Check order","")))</f>
        <v/>
      </c>
      <c r="N43" s="35"/>
    </row>
    <row r="44" customFormat="false" ht="15" hidden="false" customHeight="true" outlineLevel="0" collapsed="false">
      <c r="A44" s="46" t="str">
        <f aca="false">IF(C44="","",ROW()-11)</f>
        <v/>
      </c>
      <c r="B44" s="36"/>
      <c r="C44" s="35"/>
      <c r="D44" s="36"/>
      <c r="E44" s="47"/>
      <c r="F44" s="48"/>
      <c r="G44" s="49" t="str">
        <f aca="false">IF(C44="","",IF(F44&lt;&gt;"",F44,IF(E44="","",$C$6+E44)))</f>
        <v/>
      </c>
      <c r="H44" s="47"/>
      <c r="I44" s="49" t="str">
        <f aca="false">IF(OR(G44="",H44=""),"",G44+MAX(H44,1)-1)</f>
        <v/>
      </c>
      <c r="J44" s="47"/>
      <c r="K44" s="36"/>
      <c r="L44" s="50"/>
      <c r="M44" s="51" t="str">
        <f aca="true">IF(OR(C44="",I44=""),"",IF(AND(K44&lt;&gt;"Done",I44&lt;TODAY()),"Overdue",IF(AND(J44&lt;&gt;"",IFERROR(G44&lt;INDEX($I$12:$I$46,MATCH(J44,$A$12:$A$46,0)),FALSE())),"Check order","")))</f>
        <v/>
      </c>
      <c r="N44" s="35"/>
    </row>
    <row r="45" customFormat="false" ht="15" hidden="false" customHeight="true" outlineLevel="0" collapsed="false">
      <c r="A45" s="46" t="str">
        <f aca="false">IF(C45="","",ROW()-11)</f>
        <v/>
      </c>
      <c r="B45" s="36"/>
      <c r="C45" s="35"/>
      <c r="D45" s="36"/>
      <c r="E45" s="47"/>
      <c r="F45" s="48"/>
      <c r="G45" s="49" t="str">
        <f aca="false">IF(C45="","",IF(F45&lt;&gt;"",F45,IF(E45="","",$C$6+E45)))</f>
        <v/>
      </c>
      <c r="H45" s="47"/>
      <c r="I45" s="49" t="str">
        <f aca="false">IF(OR(G45="",H45=""),"",G45+MAX(H45,1)-1)</f>
        <v/>
      </c>
      <c r="J45" s="47"/>
      <c r="K45" s="36"/>
      <c r="L45" s="50"/>
      <c r="M45" s="51" t="str">
        <f aca="true">IF(OR(C45="",I45=""),"",IF(AND(K45&lt;&gt;"Done",I45&lt;TODAY()),"Overdue",IF(AND(J45&lt;&gt;"",IFERROR(G45&lt;INDEX($I$12:$I$46,MATCH(J45,$A$12:$A$46,0)),FALSE())),"Check order","")))</f>
        <v/>
      </c>
      <c r="N45" s="35"/>
    </row>
    <row r="46" customFormat="false" ht="15" hidden="false" customHeight="true" outlineLevel="0" collapsed="false">
      <c r="A46" s="46" t="str">
        <f aca="false">IF(C46="","",ROW()-11)</f>
        <v/>
      </c>
      <c r="B46" s="36"/>
      <c r="C46" s="35"/>
      <c r="D46" s="36"/>
      <c r="E46" s="47"/>
      <c r="F46" s="48"/>
      <c r="G46" s="49" t="str">
        <f aca="false">IF(C46="","",IF(F46&lt;&gt;"",F46,IF(E46="","",$C$6+E46)))</f>
        <v/>
      </c>
      <c r="H46" s="47"/>
      <c r="I46" s="49" t="str">
        <f aca="false">IF(OR(G46="",H46=""),"",G46+MAX(H46,1)-1)</f>
        <v/>
      </c>
      <c r="J46" s="47"/>
      <c r="K46" s="36"/>
      <c r="L46" s="50"/>
      <c r="M46" s="51" t="str">
        <f aca="true">IF(OR(C46="",I46=""),"",IF(AND(K46&lt;&gt;"Done",I46&lt;TODAY()),"Overdue",IF(AND(J46&lt;&gt;"",IFERROR(G46&lt;INDEX($I$12:$I$46,MATCH(J46,$A$12:$A$46,0)),FALSE())),"Check order","")))</f>
        <v/>
      </c>
      <c r="N46" s="35"/>
    </row>
    <row r="47" customFormat="false" ht="15" hidden="false" customHeight="false" outlineLevel="0" collapsed="false">
      <c r="C47" s="25" t="s">
        <v>159</v>
      </c>
    </row>
    <row r="49" customFormat="false" ht="15" hidden="false" customHeight="false" outlineLevel="0" collapsed="false">
      <c r="B49" s="26" t="s">
        <v>160</v>
      </c>
      <c r="C49" s="6"/>
      <c r="D49" s="6"/>
      <c r="E49" s="6"/>
      <c r="F49" s="6"/>
      <c r="G49" s="6"/>
      <c r="H49" s="6"/>
      <c r="I49" s="6"/>
      <c r="J49" s="6"/>
      <c r="K49" s="6"/>
      <c r="L49" s="6"/>
      <c r="M49" s="6"/>
    </row>
    <row r="50" customFormat="false" ht="30" hidden="false" customHeight="true" outlineLevel="0" collapsed="false">
      <c r="A50" s="18"/>
      <c r="B50" s="52" t="s">
        <v>161</v>
      </c>
      <c r="C50" s="52"/>
      <c r="D50" s="18" t="s">
        <v>162</v>
      </c>
      <c r="E50" s="18" t="s">
        <v>163</v>
      </c>
      <c r="F50" s="18" t="s">
        <v>134</v>
      </c>
      <c r="G50" s="18" t="s">
        <v>164</v>
      </c>
      <c r="H50" s="18" t="s">
        <v>165</v>
      </c>
      <c r="I50" s="18" t="s">
        <v>166</v>
      </c>
      <c r="J50" s="18" t="s">
        <v>122</v>
      </c>
    </row>
    <row r="51" customFormat="false" ht="15" hidden="false" customHeight="false" outlineLevel="0" collapsed="false">
      <c r="B51" s="53" t="s">
        <v>167</v>
      </c>
      <c r="C51" s="53"/>
      <c r="D51" s="36" t="s">
        <v>34</v>
      </c>
      <c r="E51" s="36" t="s">
        <v>34</v>
      </c>
      <c r="F51" s="36" t="s">
        <v>34</v>
      </c>
      <c r="G51" s="36" t="s">
        <v>133</v>
      </c>
      <c r="H51" s="36" t="s">
        <v>133</v>
      </c>
      <c r="I51" s="36" t="s">
        <v>144</v>
      </c>
      <c r="J51" s="54" t="n">
        <f aca="false">IF(B51="","",COUNTIF(D51:I51,"Done")/6)</f>
        <v>0.5</v>
      </c>
    </row>
    <row r="52" customFormat="false" ht="15" hidden="false" customHeight="false" outlineLevel="0" collapsed="false">
      <c r="B52" s="53" t="s">
        <v>168</v>
      </c>
      <c r="C52" s="53"/>
      <c r="D52" s="36" t="s">
        <v>34</v>
      </c>
      <c r="E52" s="36" t="s">
        <v>133</v>
      </c>
      <c r="F52" s="36" t="s">
        <v>34</v>
      </c>
      <c r="G52" s="36" t="s">
        <v>144</v>
      </c>
      <c r="H52" s="36" t="s">
        <v>144</v>
      </c>
      <c r="I52" s="36" t="s">
        <v>144</v>
      </c>
      <c r="J52" s="54" t="n">
        <f aca="false">IF(B52="","",COUNTIF(D52:I52,"Done")/6)</f>
        <v>0.333333333333333</v>
      </c>
    </row>
    <row r="53" customFormat="false" ht="15" hidden="false" customHeight="false" outlineLevel="0" collapsed="false">
      <c r="B53" s="53" t="s">
        <v>169</v>
      </c>
      <c r="C53" s="53"/>
      <c r="D53" s="36" t="s">
        <v>133</v>
      </c>
      <c r="E53" s="36" t="s">
        <v>133</v>
      </c>
      <c r="F53" s="36" t="s">
        <v>34</v>
      </c>
      <c r="G53" s="36" t="s">
        <v>144</v>
      </c>
      <c r="H53" s="36" t="s">
        <v>144</v>
      </c>
      <c r="I53" s="36" t="s">
        <v>144</v>
      </c>
      <c r="J53" s="54" t="n">
        <f aca="false">IF(B53="","",COUNTIF(D53:I53,"Done")/6)</f>
        <v>0.166666666666667</v>
      </c>
    </row>
    <row r="54" customFormat="false" ht="15" hidden="false" customHeight="false" outlineLevel="0" collapsed="false">
      <c r="B54" s="53" t="s">
        <v>170</v>
      </c>
      <c r="C54" s="53"/>
      <c r="D54" s="36" t="s">
        <v>133</v>
      </c>
      <c r="E54" s="36" t="s">
        <v>144</v>
      </c>
      <c r="F54" s="36" t="s">
        <v>133</v>
      </c>
      <c r="G54" s="36" t="s">
        <v>144</v>
      </c>
      <c r="H54" s="36" t="s">
        <v>144</v>
      </c>
      <c r="I54" s="36" t="s">
        <v>144</v>
      </c>
      <c r="J54" s="54" t="n">
        <f aca="false">IF(B54="","",COUNTIF(D54:I54,"Done")/6)</f>
        <v>0</v>
      </c>
    </row>
    <row r="55" customFormat="false" ht="15" hidden="false" customHeight="false" outlineLevel="0" collapsed="false">
      <c r="B55" s="53" t="s">
        <v>171</v>
      </c>
      <c r="C55" s="53"/>
      <c r="D55" s="36" t="s">
        <v>144</v>
      </c>
      <c r="E55" s="36" t="s">
        <v>144</v>
      </c>
      <c r="F55" s="36" t="s">
        <v>133</v>
      </c>
      <c r="G55" s="36" t="s">
        <v>144</v>
      </c>
      <c r="H55" s="36" t="s">
        <v>144</v>
      </c>
      <c r="I55" s="36" t="s">
        <v>144</v>
      </c>
      <c r="J55" s="54" t="n">
        <f aca="false">IF(B55="","",COUNTIF(D55:I55,"Done")/6)</f>
        <v>0</v>
      </c>
    </row>
    <row r="56" customFormat="false" ht="15" hidden="false" customHeight="false" outlineLevel="0" collapsed="false">
      <c r="B56" s="53" t="s">
        <v>172</v>
      </c>
      <c r="C56" s="53"/>
      <c r="D56" s="36" t="s">
        <v>34</v>
      </c>
      <c r="E56" s="36" t="s">
        <v>34</v>
      </c>
      <c r="F56" s="36" t="s">
        <v>34</v>
      </c>
      <c r="G56" s="36" t="s">
        <v>144</v>
      </c>
      <c r="H56" s="36" t="s">
        <v>144</v>
      </c>
      <c r="I56" s="36" t="s">
        <v>144</v>
      </c>
      <c r="J56" s="54" t="n">
        <f aca="false">IF(B56="","",COUNTIF(D56:I56,"Done")/6)</f>
        <v>0.5</v>
      </c>
    </row>
    <row r="57" customFormat="false" ht="15" hidden="false" customHeight="false" outlineLevel="0" collapsed="false">
      <c r="B57" s="53" t="s">
        <v>173</v>
      </c>
      <c r="C57" s="53"/>
      <c r="D57" s="36" t="s">
        <v>144</v>
      </c>
      <c r="E57" s="36" t="s">
        <v>144</v>
      </c>
      <c r="F57" s="36" t="s">
        <v>144</v>
      </c>
      <c r="G57" s="36" t="s">
        <v>144</v>
      </c>
      <c r="H57" s="36" t="s">
        <v>144</v>
      </c>
      <c r="I57" s="36" t="s">
        <v>144</v>
      </c>
      <c r="J57" s="54" t="n">
        <f aca="false">IF(B57="","",COUNTIF(D57:I57,"Done")/6)</f>
        <v>0</v>
      </c>
    </row>
    <row r="58" customFormat="false" ht="15" hidden="false" customHeight="false" outlineLevel="0" collapsed="false">
      <c r="B58" s="53" t="s">
        <v>174</v>
      </c>
      <c r="C58" s="53"/>
      <c r="D58" s="36" t="s">
        <v>133</v>
      </c>
      <c r="E58" s="36" t="s">
        <v>144</v>
      </c>
      <c r="F58" s="36" t="s">
        <v>144</v>
      </c>
      <c r="G58" s="36" t="s">
        <v>144</v>
      </c>
      <c r="H58" s="36" t="s">
        <v>144</v>
      </c>
      <c r="I58" s="36" t="s">
        <v>144</v>
      </c>
      <c r="J58" s="54" t="n">
        <f aca="false">IF(B58="","",COUNTIF(D58:I58,"Done")/6)</f>
        <v>0</v>
      </c>
    </row>
    <row r="59" customFormat="false" ht="15" hidden="false" customHeight="false" outlineLevel="0" collapsed="false">
      <c r="B59" s="53"/>
      <c r="C59" s="53"/>
      <c r="D59" s="36"/>
      <c r="E59" s="36"/>
      <c r="F59" s="36"/>
      <c r="G59" s="36"/>
      <c r="H59" s="36"/>
      <c r="I59" s="36"/>
      <c r="J59" s="54" t="str">
        <f aca="false">IF(B59="","",COUNTIF(D59:I59,"Done")/6)</f>
        <v/>
      </c>
    </row>
    <row r="60" customFormat="false" ht="15" hidden="false" customHeight="false" outlineLevel="0" collapsed="false">
      <c r="B60" s="53"/>
      <c r="C60" s="53"/>
      <c r="D60" s="36"/>
      <c r="E60" s="36"/>
      <c r="F60" s="36"/>
      <c r="G60" s="36"/>
      <c r="H60" s="36"/>
      <c r="I60" s="36"/>
      <c r="J60" s="54" t="str">
        <f aca="false">IF(B60="","",COUNTIF(D60:I60,"Done")/6)</f>
        <v/>
      </c>
    </row>
    <row r="61" customFormat="false" ht="15" hidden="false" customHeight="false" outlineLevel="0" collapsed="false">
      <c r="B61" s="53"/>
      <c r="C61" s="53"/>
      <c r="D61" s="36"/>
      <c r="E61" s="36"/>
      <c r="F61" s="36"/>
      <c r="G61" s="36"/>
      <c r="H61" s="36"/>
      <c r="I61" s="36"/>
      <c r="J61" s="54" t="str">
        <f aca="false">IF(B61="","",COUNTIF(D61:I61,"Done")/6)</f>
        <v/>
      </c>
    </row>
    <row r="62" customFormat="false" ht="15" hidden="false" customHeight="false" outlineLevel="0" collapsed="false">
      <c r="B62" s="53"/>
      <c r="C62" s="53"/>
      <c r="D62" s="36"/>
      <c r="E62" s="36"/>
      <c r="F62" s="36"/>
      <c r="G62" s="36"/>
      <c r="H62" s="36"/>
      <c r="I62" s="36"/>
      <c r="J62" s="54" t="str">
        <f aca="false">IF(B62="","",COUNTIF(D62:I62,"Done")/6)</f>
        <v/>
      </c>
    </row>
    <row r="63" customFormat="false" ht="15" hidden="false" customHeight="false" outlineLevel="0" collapsed="false">
      <c r="B63" s="53"/>
      <c r="C63" s="53"/>
      <c r="D63" s="36"/>
      <c r="E63" s="36"/>
      <c r="F63" s="36"/>
      <c r="G63" s="36"/>
      <c r="H63" s="36"/>
      <c r="I63" s="36"/>
      <c r="J63" s="54" t="str">
        <f aca="false">IF(B63="","",COUNTIF(D63:I63,"Done")/6)</f>
        <v/>
      </c>
    </row>
    <row r="64" customFormat="false" ht="15" hidden="false" customHeight="false" outlineLevel="0" collapsed="false">
      <c r="B64" s="53"/>
      <c r="C64" s="53"/>
      <c r="D64" s="36"/>
      <c r="E64" s="36"/>
      <c r="F64" s="36"/>
      <c r="G64" s="36"/>
      <c r="H64" s="36"/>
      <c r="I64" s="36"/>
      <c r="J64" s="54" t="str">
        <f aca="false">IF(B64="","",COUNTIF(D64:I64,"Done")/6)</f>
        <v/>
      </c>
    </row>
    <row r="67" customFormat="false" ht="15" hidden="false" customHeight="false" outlineLevel="0" collapsed="false">
      <c r="B67" s="26" t="s">
        <v>175</v>
      </c>
      <c r="C67" s="6"/>
      <c r="D67" s="6"/>
      <c r="E67" s="6"/>
      <c r="F67" s="6"/>
      <c r="G67" s="6"/>
      <c r="H67" s="6"/>
      <c r="I67" s="6"/>
      <c r="J67" s="6"/>
      <c r="K67" s="6"/>
      <c r="L67" s="6"/>
      <c r="M67" s="6"/>
    </row>
    <row r="68" customFormat="false" ht="30" hidden="false" customHeight="true" outlineLevel="0" collapsed="false">
      <c r="A68" s="18"/>
      <c r="B68" s="52" t="s">
        <v>176</v>
      </c>
      <c r="C68" s="52"/>
      <c r="D68" s="18" t="s">
        <v>177</v>
      </c>
      <c r="E68" s="18" t="s">
        <v>56</v>
      </c>
      <c r="F68" s="52" t="s">
        <v>124</v>
      </c>
      <c r="G68" s="52"/>
      <c r="H68" s="52"/>
      <c r="I68" s="52"/>
      <c r="J68" s="52"/>
    </row>
    <row r="69" customFormat="false" ht="15" hidden="false" customHeight="false" outlineLevel="0" collapsed="false">
      <c r="B69" s="55" t="s">
        <v>178</v>
      </c>
      <c r="C69" s="55"/>
      <c r="D69" s="36" t="s">
        <v>179</v>
      </c>
      <c r="E69" s="36" t="s">
        <v>129</v>
      </c>
      <c r="F69" s="53"/>
      <c r="G69" s="53"/>
      <c r="H69" s="53"/>
      <c r="I69" s="53"/>
      <c r="J69" s="53"/>
    </row>
    <row r="70" customFormat="false" ht="15" hidden="false" customHeight="false" outlineLevel="0" collapsed="false">
      <c r="B70" s="55" t="s">
        <v>180</v>
      </c>
      <c r="C70" s="55"/>
      <c r="D70" s="36" t="s">
        <v>179</v>
      </c>
      <c r="E70" s="36" t="s">
        <v>129</v>
      </c>
      <c r="F70" s="53"/>
      <c r="G70" s="53"/>
      <c r="H70" s="53"/>
      <c r="I70" s="53"/>
      <c r="J70" s="53"/>
    </row>
    <row r="71" customFormat="false" ht="15" hidden="false" customHeight="false" outlineLevel="0" collapsed="false">
      <c r="B71" s="55" t="s">
        <v>181</v>
      </c>
      <c r="C71" s="55"/>
      <c r="D71" s="36" t="s">
        <v>179</v>
      </c>
      <c r="E71" s="36" t="s">
        <v>129</v>
      </c>
      <c r="F71" s="53"/>
      <c r="G71" s="53"/>
      <c r="H71" s="53"/>
      <c r="I71" s="53"/>
      <c r="J71" s="53"/>
    </row>
    <row r="72" customFormat="false" ht="15" hidden="false" customHeight="false" outlineLevel="0" collapsed="false">
      <c r="B72" s="55" t="s">
        <v>182</v>
      </c>
      <c r="C72" s="55"/>
      <c r="D72" s="36" t="s">
        <v>179</v>
      </c>
      <c r="E72" s="36" t="s">
        <v>129</v>
      </c>
      <c r="F72" s="53"/>
      <c r="G72" s="53"/>
      <c r="H72" s="53"/>
      <c r="I72" s="53"/>
      <c r="J72" s="53"/>
    </row>
    <row r="73" customFormat="false" ht="15" hidden="false" customHeight="false" outlineLevel="0" collapsed="false">
      <c r="B73" s="55" t="s">
        <v>183</v>
      </c>
      <c r="C73" s="55"/>
      <c r="D73" s="36" t="s">
        <v>179</v>
      </c>
      <c r="E73" s="36" t="s">
        <v>129</v>
      </c>
      <c r="F73" s="53"/>
      <c r="G73" s="53"/>
      <c r="H73" s="53"/>
      <c r="I73" s="53"/>
      <c r="J73" s="53"/>
    </row>
    <row r="74" customFormat="false" ht="15" hidden="false" customHeight="false" outlineLevel="0" collapsed="false">
      <c r="B74" s="55" t="s">
        <v>184</v>
      </c>
      <c r="C74" s="55"/>
      <c r="D74" s="36" t="s">
        <v>179</v>
      </c>
      <c r="E74" s="36" t="s">
        <v>129</v>
      </c>
      <c r="F74" s="53"/>
      <c r="G74" s="53"/>
      <c r="H74" s="53"/>
      <c r="I74" s="53"/>
      <c r="J74" s="53"/>
    </row>
    <row r="75" customFormat="false" ht="15" hidden="false" customHeight="false" outlineLevel="0" collapsed="false">
      <c r="B75" s="55" t="s">
        <v>185</v>
      </c>
      <c r="C75" s="55"/>
      <c r="D75" s="36" t="s">
        <v>179</v>
      </c>
      <c r="E75" s="36" t="s">
        <v>129</v>
      </c>
      <c r="F75" s="53"/>
      <c r="G75" s="53"/>
      <c r="H75" s="53"/>
      <c r="I75" s="53"/>
      <c r="J75" s="53"/>
    </row>
    <row r="76" customFormat="false" ht="15" hidden="false" customHeight="false" outlineLevel="0" collapsed="false">
      <c r="B76" s="55" t="s">
        <v>186</v>
      </c>
      <c r="C76" s="55"/>
      <c r="D76" s="36" t="s">
        <v>179</v>
      </c>
      <c r="E76" s="36" t="s">
        <v>129</v>
      </c>
      <c r="F76" s="53"/>
      <c r="G76" s="53"/>
      <c r="H76" s="53"/>
      <c r="I76" s="53"/>
      <c r="J76" s="53"/>
    </row>
    <row r="77" customFormat="false" ht="15" hidden="false" customHeight="false" outlineLevel="0" collapsed="false">
      <c r="B77" s="55" t="s">
        <v>187</v>
      </c>
      <c r="C77" s="55"/>
      <c r="D77" s="36" t="s">
        <v>179</v>
      </c>
      <c r="E77" s="36" t="s">
        <v>129</v>
      </c>
      <c r="F77" s="53"/>
      <c r="G77" s="53"/>
      <c r="H77" s="53"/>
      <c r="I77" s="53"/>
      <c r="J77" s="53"/>
    </row>
    <row r="78" customFormat="false" ht="15" hidden="false" customHeight="false" outlineLevel="0" collapsed="false">
      <c r="B78" s="55" t="s">
        <v>188</v>
      </c>
      <c r="C78" s="55"/>
      <c r="D78" s="36" t="s">
        <v>179</v>
      </c>
      <c r="E78" s="36" t="s">
        <v>129</v>
      </c>
      <c r="F78" s="53"/>
      <c r="G78" s="53"/>
      <c r="H78" s="53"/>
      <c r="I78" s="53"/>
      <c r="J78" s="53"/>
    </row>
    <row r="79" customFormat="false" ht="15" hidden="false" customHeight="false" outlineLevel="0" collapsed="false">
      <c r="B79" s="55" t="s">
        <v>189</v>
      </c>
      <c r="C79" s="55"/>
      <c r="D79" s="36" t="s">
        <v>179</v>
      </c>
      <c r="E79" s="36" t="s">
        <v>129</v>
      </c>
      <c r="F79" s="53"/>
      <c r="G79" s="53"/>
      <c r="H79" s="53"/>
      <c r="I79" s="53"/>
      <c r="J79" s="53"/>
    </row>
    <row r="80" customFormat="false" ht="15" hidden="false" customHeight="false" outlineLevel="0" collapsed="false">
      <c r="B80" s="55" t="s">
        <v>190</v>
      </c>
      <c r="C80" s="55"/>
      <c r="D80" s="36" t="s">
        <v>179</v>
      </c>
      <c r="E80" s="36" t="s">
        <v>129</v>
      </c>
      <c r="F80" s="53"/>
      <c r="G80" s="53"/>
      <c r="H80" s="53"/>
      <c r="I80" s="53"/>
      <c r="J80" s="53"/>
    </row>
    <row r="81" customFormat="false" ht="15" hidden="false" customHeight="false" outlineLevel="0" collapsed="false">
      <c r="B81" s="55" t="s">
        <v>191</v>
      </c>
      <c r="C81" s="55"/>
      <c r="D81" s="36" t="s">
        <v>179</v>
      </c>
      <c r="E81" s="36" t="s">
        <v>129</v>
      </c>
      <c r="F81" s="53"/>
      <c r="G81" s="53"/>
      <c r="H81" s="53"/>
      <c r="I81" s="53"/>
      <c r="J81" s="53"/>
    </row>
    <row r="82" customFormat="false" ht="15" hidden="false" customHeight="false" outlineLevel="0" collapsed="false">
      <c r="B82" s="55" t="s">
        <v>192</v>
      </c>
      <c r="C82" s="55"/>
      <c r="D82" s="36" t="s">
        <v>179</v>
      </c>
      <c r="E82" s="36" t="s">
        <v>129</v>
      </c>
      <c r="F82" s="53"/>
      <c r="G82" s="53"/>
      <c r="H82" s="53"/>
      <c r="I82" s="53"/>
      <c r="J82" s="53"/>
    </row>
    <row r="83" customFormat="false" ht="15" hidden="false" customHeight="false" outlineLevel="0" collapsed="false">
      <c r="B83" s="55" t="s">
        <v>193</v>
      </c>
      <c r="C83" s="55"/>
      <c r="D83" s="36" t="s">
        <v>179</v>
      </c>
      <c r="E83" s="36" t="s">
        <v>129</v>
      </c>
      <c r="F83" s="53"/>
      <c r="G83" s="53"/>
      <c r="H83" s="53"/>
      <c r="I83" s="53"/>
      <c r="J83" s="53"/>
    </row>
    <row r="84" customFormat="false" ht="15" hidden="false" customHeight="false" outlineLevel="0" collapsed="false">
      <c r="B84" s="55" t="s">
        <v>194</v>
      </c>
      <c r="C84" s="55"/>
      <c r="D84" s="36" t="s">
        <v>179</v>
      </c>
      <c r="E84" s="36" t="s">
        <v>129</v>
      </c>
      <c r="F84" s="53"/>
      <c r="G84" s="53"/>
      <c r="H84" s="53"/>
      <c r="I84" s="53"/>
      <c r="J84" s="53"/>
    </row>
    <row r="85" customFormat="false" ht="15" hidden="false" customHeight="false" outlineLevel="0" collapsed="false">
      <c r="B85" s="55" t="s">
        <v>195</v>
      </c>
      <c r="C85" s="55"/>
      <c r="D85" s="36" t="s">
        <v>179</v>
      </c>
      <c r="E85" s="36" t="s">
        <v>132</v>
      </c>
      <c r="F85" s="53"/>
      <c r="G85" s="53"/>
      <c r="H85" s="53"/>
      <c r="I85" s="53"/>
      <c r="J85" s="53"/>
    </row>
    <row r="86" customFormat="false" ht="15" hidden="false" customHeight="false" outlineLevel="0" collapsed="false">
      <c r="B86" s="55" t="s">
        <v>196</v>
      </c>
      <c r="C86" s="55"/>
      <c r="D86" s="36" t="s">
        <v>179</v>
      </c>
      <c r="E86" s="36" t="s">
        <v>129</v>
      </c>
      <c r="F86" s="53"/>
      <c r="G86" s="53"/>
      <c r="H86" s="53"/>
      <c r="I86" s="53"/>
      <c r="J86" s="53"/>
    </row>
    <row r="87" customFormat="false" ht="15" hidden="false" customHeight="false" outlineLevel="0" collapsed="false">
      <c r="B87" s="55" t="s">
        <v>197</v>
      </c>
      <c r="C87" s="55"/>
      <c r="D87" s="36" t="s">
        <v>179</v>
      </c>
      <c r="E87" s="36" t="s">
        <v>129</v>
      </c>
      <c r="F87" s="53"/>
      <c r="G87" s="53"/>
      <c r="H87" s="53"/>
      <c r="I87" s="53"/>
      <c r="J87" s="53"/>
    </row>
    <row r="88" customFormat="false" ht="15" hidden="false" customHeight="false" outlineLevel="0" collapsed="false">
      <c r="B88" s="55" t="s">
        <v>198</v>
      </c>
      <c r="C88" s="55"/>
      <c r="D88" s="36" t="s">
        <v>179</v>
      </c>
      <c r="E88" s="36" t="s">
        <v>129</v>
      </c>
      <c r="F88" s="53"/>
      <c r="G88" s="53"/>
      <c r="H88" s="53"/>
      <c r="I88" s="53"/>
      <c r="J88" s="53"/>
    </row>
    <row r="89" customFormat="false" ht="15" hidden="false" customHeight="false" outlineLevel="0" collapsed="false">
      <c r="B89" s="17" t="s">
        <v>199</v>
      </c>
      <c r="D89" s="19" t="str">
        <f aca="false">IF(COUNTIF(D69:D88,"No")=0,"Yes. Go!","Not yet: "&amp;COUNTIF(D69:D88,"No")&amp;" left")</f>
        <v>Not yet: 20 left</v>
      </c>
    </row>
  </sheetData>
  <mergeCells count="63">
    <mergeCell ref="G4:H4"/>
    <mergeCell ref="K4:L4"/>
    <mergeCell ref="G5:H5"/>
    <mergeCell ref="K5:L5"/>
    <mergeCell ref="G6:H6"/>
    <mergeCell ref="K6:L6"/>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8:C68"/>
    <mergeCell ref="F68:J68"/>
    <mergeCell ref="B69:C69"/>
    <mergeCell ref="F69:J69"/>
    <mergeCell ref="B70:C70"/>
    <mergeCell ref="F70:J70"/>
    <mergeCell ref="B71:C71"/>
    <mergeCell ref="F71:J71"/>
    <mergeCell ref="B72:C72"/>
    <mergeCell ref="F72:J72"/>
    <mergeCell ref="B73:C73"/>
    <mergeCell ref="F73:J73"/>
    <mergeCell ref="B74:C74"/>
    <mergeCell ref="F74:J74"/>
    <mergeCell ref="B75:C75"/>
    <mergeCell ref="F75:J75"/>
    <mergeCell ref="B76:C76"/>
    <mergeCell ref="F76:J76"/>
    <mergeCell ref="B77:C77"/>
    <mergeCell ref="F77:J77"/>
    <mergeCell ref="B78:C78"/>
    <mergeCell ref="F78:J78"/>
    <mergeCell ref="B79:C79"/>
    <mergeCell ref="F79:J79"/>
    <mergeCell ref="B80:C80"/>
    <mergeCell ref="F80:J80"/>
    <mergeCell ref="B81:C81"/>
    <mergeCell ref="F81:J81"/>
    <mergeCell ref="B82:C82"/>
    <mergeCell ref="F82:J82"/>
    <mergeCell ref="B83:C83"/>
    <mergeCell ref="F83:J83"/>
    <mergeCell ref="B84:C84"/>
    <mergeCell ref="F84:J84"/>
    <mergeCell ref="B85:C85"/>
    <mergeCell ref="F85:J85"/>
    <mergeCell ref="B86:C86"/>
    <mergeCell ref="F86:J86"/>
    <mergeCell ref="B87:C87"/>
    <mergeCell ref="F87:J87"/>
    <mergeCell ref="B88:C88"/>
    <mergeCell ref="F88:J88"/>
  </mergeCells>
  <conditionalFormatting sqref="K5">
    <cfRule type="expression" priority="2" aboveAverage="0" equalAverage="0" bottom="0" percent="0" rank="0" text="" dxfId="4">
      <formula>N(K5)&gt;0</formula>
    </cfRule>
  </conditionalFormatting>
  <conditionalFormatting sqref="G4">
    <cfRule type="dataBar" priority="3">
      <dataBar showValue="1" minLength="10" maxLength="90">
        <cfvo type="num" val="0"/>
        <cfvo type="num" val="1"/>
        <color rgb="FF8DC640"/>
      </dataBar>
      <extLst>
        <ext xmlns:x14="http://schemas.microsoft.com/office/spreadsheetml/2009/9/main" uri="{B025F937-C7B1-47D3-B67F-A62EFF666E3E}">
          <x14:id>{B4AF508A-F07A-4AAB-8683-27CDCF302A39}</x14:id>
        </ext>
      </extLst>
    </cfRule>
  </conditionalFormatting>
  <conditionalFormatting sqref="O12:AR46">
    <cfRule type="expression" priority="4" aboveAverage="0" equalAverage="0" bottom="0" percent="0" rank="0" text="" dxfId="5">
      <formula>AND(AND($G12&lt;&gt;"",$I12&lt;&gt;"",$G12&lt;=O$11+6,$I12&gt;=O$11),$K12="Done")</formula>
    </cfRule>
    <cfRule type="expression" priority="5" aboveAverage="0" equalAverage="0" bottom="0" percent="0" rank="0" text="" dxfId="6">
      <formula>AND(AND($G12&lt;&gt;"",$I12&lt;&gt;"",$G12&lt;=O$11+6,$I12&gt;=O$11),$M12="Overdue")</formula>
    </cfRule>
    <cfRule type="expression" priority="6" aboveAverage="0" equalAverage="0" bottom="0" percent="0" rank="0" text="" dxfId="7">
      <formula>AND(AND($G12&lt;&gt;"",$I12&lt;&gt;"",$G12&lt;=O$11+6,$I12&gt;=O$11),OR($K12="Waiting on someone",$K12="Blocked"))</formula>
    </cfRule>
    <cfRule type="expression" priority="7" aboveAverage="0" equalAverage="0" bottom="0" percent="0" rank="0" text="" dxfId="8">
      <formula>AND($G12&lt;&gt;"",$I12&lt;&gt;"",$G12&lt;=O$11+6,$I12&gt;=O$11)</formula>
    </cfRule>
    <cfRule type="expression" priority="8" aboveAverage="0" equalAverage="0" bottom="0" percent="0" rank="0" text="" dxfId="3">
      <formula>AND(TODAY()&gt;=O$11,TODAY()&lt;=O$11+6)</formula>
    </cfRule>
  </conditionalFormatting>
  <conditionalFormatting sqref="O11:AR11">
    <cfRule type="expression" priority="9" aboveAverage="0" equalAverage="0" bottom="0" percent="0" rank="0" text="" dxfId="9">
      <formula>AND(TODAY()&gt;=O$11,TODAY()&lt;=O$11+6)</formula>
    </cfRule>
  </conditionalFormatting>
  <conditionalFormatting sqref="K12:K46">
    <cfRule type="expression" priority="10" aboveAverage="0" equalAverage="0" bottom="0" percent="0" rank="0" text="" dxfId="1">
      <formula>$K12="Done"</formula>
    </cfRule>
    <cfRule type="expression" priority="11" aboveAverage="0" equalAverage="0" bottom="0" percent="0" rank="0" text="" dxfId="0">
      <formula>$K12="In progress"</formula>
    </cfRule>
    <cfRule type="expression" priority="12" aboveAverage="0" equalAverage="0" bottom="0" percent="0" rank="0" text="" dxfId="3">
      <formula>$K12="Waiting on someone"</formula>
    </cfRule>
    <cfRule type="expression" priority="13" aboveAverage="0" equalAverage="0" bottom="0" percent="0" rank="0" text="" dxfId="2">
      <formula>$K12="Blocked"</formula>
    </cfRule>
  </conditionalFormatting>
  <conditionalFormatting sqref="M12:M46">
    <cfRule type="expression" priority="14" aboveAverage="0" equalAverage="0" bottom="0" percent="0" rank="0" text="" dxfId="4">
      <formula>M12="Overdue"</formula>
    </cfRule>
    <cfRule type="expression" priority="15" aboveAverage="0" equalAverage="0" bottom="0" percent="0" rank="0" text="" dxfId="3">
      <formula>M12="Check order"</formula>
    </cfRule>
  </conditionalFormatting>
  <conditionalFormatting sqref="D51:I64">
    <cfRule type="expression" priority="16" aboveAverage="0" equalAverage="0" bottom="0" percent="0" rank="0" text="" dxfId="0">
      <formula>D51="Done"</formula>
    </cfRule>
    <cfRule type="expression" priority="17" aboveAverage="0" equalAverage="0" bottom="0" percent="0" rank="0" text="" dxfId="3">
      <formula>D51="In progress"</formula>
    </cfRule>
  </conditionalFormatting>
  <conditionalFormatting sqref="D69:D88">
    <cfRule type="expression" priority="18" aboveAverage="0" equalAverage="0" bottom="0" percent="0" rank="0" text="" dxfId="0">
      <formula>D69="Yes"</formula>
    </cfRule>
    <cfRule type="expression" priority="19" aboveAverage="0" equalAverage="0" bottom="0" percent="0" rank="0" text="" dxfId="2">
      <formula>D69="No"</formula>
    </cfRule>
  </conditionalFormatting>
  <dataValidations count="4">
    <dataValidation allowBlank="true" errorStyle="stop" operator="between" showDropDown="false" showErrorMessage="false" showInputMessage="false" sqref="K12:K46" type="list">
      <formula1>"Not started,In progress,Waiting on someone,Blocked,Done"</formula1>
      <formula2>0</formula2>
    </dataValidation>
    <dataValidation allowBlank="true" errorStyle="stop" operator="between" showDropDown="false" showErrorMessage="false" showInputMessage="false" sqref="L12:L46" type="decimal">
      <formula1>0</formula1>
      <formula2>1</formula2>
    </dataValidation>
    <dataValidation allowBlank="true" errorStyle="stop" operator="between" showDropDown="false" showErrorMessage="false" showInputMessage="false" sqref="D51:I64" type="list">
      <formula1>"Not started,In progress,Done"</formula1>
      <formula2>0</formula2>
    </dataValidation>
    <dataValidation allowBlank="true" errorStyle="stop" operator="between" showDropDown="false" showErrorMessage="false" showInputMessage="false" sqref="D69:D88" type="list">
      <formula1>"Yes,No,N/A"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B4AF508A-F07A-4AAB-8683-27CDCF302A39}">
            <x14:dataBar minLength="10" maxLength="90" axisPosition="none" gradient="true">
              <x14:cfvo type="num">
                <xm:f>0</xm:f>
              </x14:cfvo>
              <x14:cfvo type="num">
                <xm:f>1</xm:f>
              </x14:cfvo>
              <x14:negativeFillColor rgb="FF8DC640"/>
              <x14:axisColor rgb="FF000000"/>
            </x14:dataBar>
          </x14:cfRule>
          <xm:sqref>G4</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AR5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1" topLeftCell="D12" activePane="bottomRight" state="frozen"/>
      <selection pane="topLeft" activeCell="A1" activeCellId="0" sqref="A1"/>
      <selection pane="topRight" activeCell="D1" activeCellId="0" sqref="D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46"/>
    <col collapsed="false" customWidth="true" hidden="false" outlineLevel="0" max="4" min="4" style="0" width="11"/>
    <col collapsed="false" customWidth="true" hidden="false" outlineLevel="0" max="5" min="5" style="0" width="9"/>
    <col collapsed="false" customWidth="true" hidden="false" outlineLevel="0" max="7" min="6" style="0" width="12"/>
    <col collapsed="false" customWidth="true" hidden="false" outlineLevel="0" max="8" min="8" style="0" width="7"/>
    <col collapsed="false" customWidth="true" hidden="false" outlineLevel="0" max="9" min="9" style="0" width="12"/>
    <col collapsed="false" customWidth="true" hidden="false" outlineLevel="0" max="10" min="10" style="0" width="8"/>
    <col collapsed="false" customWidth="true" hidden="false" outlineLevel="0" max="11" min="11" style="0" width="15"/>
    <col collapsed="false" customWidth="true" hidden="false" outlineLevel="0" max="12" min="12" style="0" width="8"/>
    <col collapsed="false" customWidth="true" hidden="false" outlineLevel="0" max="13" min="13" style="0" width="12"/>
    <col collapsed="false" customWidth="true" hidden="false" outlineLevel="0" max="14" min="14" style="0" width="30"/>
    <col collapsed="false" customWidth="true" hidden="false" outlineLevel="0" max="44" min="15" style="0" width="4.6"/>
  </cols>
  <sheetData>
    <row r="1" customFormat="false" ht="22.05" hidden="false" customHeight="false" outlineLevel="0" collapsed="false">
      <c r="A1" s="29" t="s">
        <v>39</v>
      </c>
    </row>
    <row r="2" customFormat="false" ht="15" hidden="false" customHeight="false" outlineLevel="0" collapsed="false">
      <c r="A2" s="30" t="s">
        <v>200</v>
      </c>
    </row>
    <row r="4" customFormat="false" ht="15" hidden="false" customHeight="false" outlineLevel="0" collapsed="false">
      <c r="B4" s="17" t="s">
        <v>53</v>
      </c>
      <c r="C4" s="36" t="s">
        <v>201</v>
      </c>
      <c r="F4" s="37" t="s">
        <v>32</v>
      </c>
      <c r="G4" s="38" t="n">
        <f aca="false">IF(SUM($H$12:$H$36)=0,"",SUMPRODUCT($H$12:$H$36,($K$12:$K$36="Done")+($K$12:$K$36&lt;&gt;"Done")*$L$12:$L$36)/SUM($H$12:$H$36))</f>
        <v>0.158108108108108</v>
      </c>
      <c r="H4" s="38"/>
      <c r="J4" s="37" t="s">
        <v>104</v>
      </c>
      <c r="K4" s="39" t="str">
        <f aca="false">COUNTIF($K$12:$K$36,"Done")&amp;" of "&amp;COUNTA($C$12:$C$36)</f>
        <v>3 of 13</v>
      </c>
      <c r="L4" s="39"/>
    </row>
    <row r="5" customFormat="false" ht="15" hidden="false" customHeight="false" outlineLevel="0" collapsed="false">
      <c r="B5" s="17" t="s">
        <v>105</v>
      </c>
      <c r="C5" s="36" t="s">
        <v>202</v>
      </c>
      <c r="F5" s="37" t="s">
        <v>30</v>
      </c>
      <c r="G5" s="40" t="n">
        <f aca="false">IF(COUNT($G$12:$G$36)=0,"",MIN($G$12:$G$36))</f>
        <v>46299</v>
      </c>
      <c r="H5" s="40"/>
      <c r="J5" s="37" t="s">
        <v>106</v>
      </c>
      <c r="K5" s="41" t="n">
        <f aca="false">COUNTIF($M$12:$M$36,"Overdue")</f>
        <v>0</v>
      </c>
      <c r="L5" s="41"/>
    </row>
    <row r="6" customFormat="false" ht="15" hidden="false" customHeight="false" outlineLevel="0" collapsed="false">
      <c r="B6" s="17" t="s">
        <v>107</v>
      </c>
      <c r="C6" s="42" t="n">
        <f aca="true">TODAY()-10</f>
        <v>46299</v>
      </c>
      <c r="F6" s="37" t="s">
        <v>31</v>
      </c>
      <c r="G6" s="40" t="n">
        <f aca="false">IF(COUNT($I$12:$I$36)=0,"",MAX($I$12:$I$36))</f>
        <v>46351</v>
      </c>
      <c r="H6" s="40"/>
      <c r="J6" s="37" t="s">
        <v>36</v>
      </c>
      <c r="K6" s="40" t="n">
        <f aca="true">IFERROR(_xlfn.MINIFS($I$12:$I$36,$K$12:$K$36,"&lt;&gt;Done",$I$12:$I$36,"&gt;="&amp;TODAY()),"")</f>
        <v>46314</v>
      </c>
      <c r="L6" s="40"/>
    </row>
    <row r="7" customFormat="false" ht="15" hidden="false" customHeight="false" outlineLevel="0" collapsed="false">
      <c r="B7" s="17" t="s">
        <v>59</v>
      </c>
      <c r="C7" s="43" t="n">
        <v>6000</v>
      </c>
    </row>
    <row r="8" customFormat="false" ht="15" hidden="false" customHeight="false" outlineLevel="0" collapsed="false">
      <c r="B8" s="17" t="s">
        <v>108</v>
      </c>
      <c r="C8" s="36" t="s">
        <v>203</v>
      </c>
    </row>
    <row r="9" customFormat="false" ht="15" hidden="false" customHeight="false" outlineLevel="0" collapsed="false">
      <c r="B9" s="25" t="s">
        <v>110</v>
      </c>
    </row>
    <row r="10" customFormat="false" ht="15" hidden="false" customHeight="false" outlineLevel="0" collapsed="false">
      <c r="C10" s="25" t="s">
        <v>111</v>
      </c>
      <c r="O10" s="44" t="str">
        <f aca="false">TEXT(O11,"mmm")</f>
        <v>Sep</v>
      </c>
      <c r="P10" s="44" t="str">
        <f aca="false">IF(MONTH(P11)&lt;&gt;MONTH(O11),TEXT(P11,"mmm"),"")</f>
        <v>Oct</v>
      </c>
      <c r="Q10" s="44" t="str">
        <f aca="false">IF(MONTH(Q11)&lt;&gt;MONTH(P11),TEXT(Q11,"mmm"),"")</f>
        <v/>
      </c>
      <c r="R10" s="44" t="str">
        <f aca="false">IF(MONTH(R11)&lt;&gt;MONTH(Q11),TEXT(R11,"mmm"),"")</f>
        <v/>
      </c>
      <c r="S10" s="44" t="str">
        <f aca="false">IF(MONTH(S11)&lt;&gt;MONTH(R11),TEXT(S11,"mmm"),"")</f>
        <v/>
      </c>
      <c r="T10" s="44" t="str">
        <f aca="false">IF(MONTH(T11)&lt;&gt;MONTH(S11),TEXT(T11,"mmm"),"")</f>
        <v>Nov</v>
      </c>
      <c r="U10" s="44" t="str">
        <f aca="false">IF(MONTH(U11)&lt;&gt;MONTH(T11),TEXT(U11,"mmm"),"")</f>
        <v/>
      </c>
      <c r="V10" s="44" t="str">
        <f aca="false">IF(MONTH(V11)&lt;&gt;MONTH(U11),TEXT(V11,"mmm"),"")</f>
        <v/>
      </c>
      <c r="W10" s="44" t="str">
        <f aca="false">IF(MONTH(W11)&lt;&gt;MONTH(V11),TEXT(W11,"mmm"),"")</f>
        <v/>
      </c>
      <c r="X10" s="44" t="str">
        <f aca="false">IF(MONTH(X11)&lt;&gt;MONTH(W11),TEXT(X11,"mmm"),"")</f>
        <v/>
      </c>
      <c r="Y10" s="44" t="str">
        <f aca="false">IF(MONTH(Y11)&lt;&gt;MONTH(X11),TEXT(Y11,"mmm"),"")</f>
        <v>Dec</v>
      </c>
      <c r="Z10" s="44" t="str">
        <f aca="false">IF(MONTH(Z11)&lt;&gt;MONTH(Y11),TEXT(Z11,"mmm"),"")</f>
        <v/>
      </c>
      <c r="AA10" s="44" t="str">
        <f aca="false">IF(MONTH(AA11)&lt;&gt;MONTH(Z11),TEXT(AA11,"mmm"),"")</f>
        <v/>
      </c>
      <c r="AB10" s="44" t="str">
        <f aca="false">IF(MONTH(AB11)&lt;&gt;MONTH(AA11),TEXT(AB11,"mmm"),"")</f>
        <v/>
      </c>
      <c r="AC10" s="44" t="str">
        <f aca="false">IF(MONTH(AC11)&lt;&gt;MONTH(AB11),TEXT(AC11,"mmm"),"")</f>
        <v>Jan</v>
      </c>
      <c r="AD10" s="44" t="str">
        <f aca="false">IF(MONTH(AD11)&lt;&gt;MONTH(AC11),TEXT(AD11,"mmm"),"")</f>
        <v/>
      </c>
      <c r="AE10" s="44" t="str">
        <f aca="false">IF(MONTH(AE11)&lt;&gt;MONTH(AD11),TEXT(AE11,"mmm"),"")</f>
        <v/>
      </c>
      <c r="AF10" s="44" t="str">
        <f aca="false">IF(MONTH(AF11)&lt;&gt;MONTH(AE11),TEXT(AF11,"mmm"),"")</f>
        <v/>
      </c>
      <c r="AG10" s="44" t="str">
        <f aca="false">IF(MONTH(AG11)&lt;&gt;MONTH(AF11),TEXT(AG11,"mmm"),"")</f>
        <v>Feb</v>
      </c>
      <c r="AH10" s="44" t="str">
        <f aca="false">IF(MONTH(AH11)&lt;&gt;MONTH(AG11),TEXT(AH11,"mmm"),"")</f>
        <v/>
      </c>
      <c r="AI10" s="44" t="str">
        <f aca="false">IF(MONTH(AI11)&lt;&gt;MONTH(AH11),TEXT(AI11,"mmm"),"")</f>
        <v/>
      </c>
      <c r="AJ10" s="44" t="str">
        <f aca="false">IF(MONTH(AJ11)&lt;&gt;MONTH(AI11),TEXT(AJ11,"mmm"),"")</f>
        <v/>
      </c>
      <c r="AK10" s="44" t="str">
        <f aca="false">IF(MONTH(AK11)&lt;&gt;MONTH(AJ11),TEXT(AK11,"mmm"),"")</f>
        <v>Mar</v>
      </c>
      <c r="AL10" s="44" t="str">
        <f aca="false">IF(MONTH(AL11)&lt;&gt;MONTH(AK11),TEXT(AL11,"mmm"),"")</f>
        <v/>
      </c>
      <c r="AM10" s="44" t="str">
        <f aca="false">IF(MONTH(AM11)&lt;&gt;MONTH(AL11),TEXT(AM11,"mmm"),"")</f>
        <v/>
      </c>
      <c r="AN10" s="44" t="str">
        <f aca="false">IF(MONTH(AN11)&lt;&gt;MONTH(AM11),TEXT(AN11,"mmm"),"")</f>
        <v/>
      </c>
      <c r="AO10" s="44" t="str">
        <f aca="false">IF(MONTH(AO11)&lt;&gt;MONTH(AN11),TEXT(AO11,"mmm"),"")</f>
        <v/>
      </c>
      <c r="AP10" s="44" t="str">
        <f aca="false">IF(MONTH(AP11)&lt;&gt;MONTH(AO11),TEXT(AP11,"mmm"),"")</f>
        <v>Apr</v>
      </c>
      <c r="AQ10" s="44" t="str">
        <f aca="false">IF(MONTH(AQ11)&lt;&gt;MONTH(AP11),TEXT(AQ11,"mmm"),"")</f>
        <v/>
      </c>
      <c r="AR10" s="44" t="str">
        <f aca="false">IF(MONTH(AR11)&lt;&gt;MONTH(AQ11),TEXT(AR11,"mmm"),"")</f>
        <v/>
      </c>
    </row>
    <row r="11" customFormat="false" ht="42" hidden="false" customHeight="true" outlineLevel="0" collapsed="false">
      <c r="A11" s="18" t="s">
        <v>112</v>
      </c>
      <c r="B11" s="18" t="s">
        <v>113</v>
      </c>
      <c r="C11" s="18" t="s">
        <v>114</v>
      </c>
      <c r="D11" s="18" t="s">
        <v>56</v>
      </c>
      <c r="E11" s="18" t="s">
        <v>115</v>
      </c>
      <c r="F11" s="18" t="s">
        <v>116</v>
      </c>
      <c r="G11" s="18" t="s">
        <v>117</v>
      </c>
      <c r="H11" s="18" t="s">
        <v>118</v>
      </c>
      <c r="I11" s="18" t="s">
        <v>119</v>
      </c>
      <c r="J11" s="18" t="s">
        <v>120</v>
      </c>
      <c r="K11" s="18" t="s">
        <v>121</v>
      </c>
      <c r="L11" s="18" t="s">
        <v>122</v>
      </c>
      <c r="M11" s="18" t="s">
        <v>123</v>
      </c>
      <c r="N11" s="18" t="s">
        <v>124</v>
      </c>
      <c r="O11" s="45" t="n">
        <f aca="false">(MIN($G$12:$G$36)-WEEKDAY(MIN($G$12:$G$36),3))+0</f>
        <v>46293</v>
      </c>
      <c r="P11" s="45" t="n">
        <f aca="false">O11+7</f>
        <v>46300</v>
      </c>
      <c r="Q11" s="45" t="n">
        <f aca="false">P11+7</f>
        <v>46307</v>
      </c>
      <c r="R11" s="45" t="n">
        <f aca="false">Q11+7</f>
        <v>46314</v>
      </c>
      <c r="S11" s="45" t="n">
        <f aca="false">R11+7</f>
        <v>46321</v>
      </c>
      <c r="T11" s="45" t="n">
        <f aca="false">S11+7</f>
        <v>46328</v>
      </c>
      <c r="U11" s="45" t="n">
        <f aca="false">T11+7</f>
        <v>46335</v>
      </c>
      <c r="V11" s="45" t="n">
        <f aca="false">U11+7</f>
        <v>46342</v>
      </c>
      <c r="W11" s="45" t="n">
        <f aca="false">V11+7</f>
        <v>46349</v>
      </c>
      <c r="X11" s="45" t="n">
        <f aca="false">W11+7</f>
        <v>46356</v>
      </c>
      <c r="Y11" s="45" t="n">
        <f aca="false">X11+7</f>
        <v>46363</v>
      </c>
      <c r="Z11" s="45" t="n">
        <f aca="false">Y11+7</f>
        <v>46370</v>
      </c>
      <c r="AA11" s="45" t="n">
        <f aca="false">Z11+7</f>
        <v>46377</v>
      </c>
      <c r="AB11" s="45" t="n">
        <f aca="false">AA11+7</f>
        <v>46384</v>
      </c>
      <c r="AC11" s="45" t="n">
        <f aca="false">AB11+7</f>
        <v>46391</v>
      </c>
      <c r="AD11" s="45" t="n">
        <f aca="false">AC11+7</f>
        <v>46398</v>
      </c>
      <c r="AE11" s="45" t="n">
        <f aca="false">AD11+7</f>
        <v>46405</v>
      </c>
      <c r="AF11" s="45" t="n">
        <f aca="false">AE11+7</f>
        <v>46412</v>
      </c>
      <c r="AG11" s="45" t="n">
        <f aca="false">AF11+7</f>
        <v>46419</v>
      </c>
      <c r="AH11" s="45" t="n">
        <f aca="false">AG11+7</f>
        <v>46426</v>
      </c>
      <c r="AI11" s="45" t="n">
        <f aca="false">AH11+7</f>
        <v>46433</v>
      </c>
      <c r="AJ11" s="45" t="n">
        <f aca="false">AI11+7</f>
        <v>46440</v>
      </c>
      <c r="AK11" s="45" t="n">
        <f aca="false">AJ11+7</f>
        <v>46447</v>
      </c>
      <c r="AL11" s="45" t="n">
        <f aca="false">AK11+7</f>
        <v>46454</v>
      </c>
      <c r="AM11" s="45" t="n">
        <f aca="false">AL11+7</f>
        <v>46461</v>
      </c>
      <c r="AN11" s="45" t="n">
        <f aca="false">AM11+7</f>
        <v>46468</v>
      </c>
      <c r="AO11" s="45" t="n">
        <f aca="false">AN11+7</f>
        <v>46475</v>
      </c>
      <c r="AP11" s="45" t="n">
        <f aca="false">AO11+7</f>
        <v>46482</v>
      </c>
      <c r="AQ11" s="45" t="n">
        <f aca="false">AP11+7</f>
        <v>46489</v>
      </c>
      <c r="AR11" s="45" t="n">
        <f aca="false">AQ11+7</f>
        <v>46496</v>
      </c>
    </row>
    <row r="12" customFormat="false" ht="27.75" hidden="false" customHeight="true" outlineLevel="0" collapsed="false">
      <c r="A12" s="46" t="n">
        <f aca="false">IF(C12="","",ROW()-11)</f>
        <v>1</v>
      </c>
      <c r="B12" s="36" t="s">
        <v>204</v>
      </c>
      <c r="C12" s="35" t="s">
        <v>205</v>
      </c>
      <c r="D12" s="36" t="s">
        <v>56</v>
      </c>
      <c r="E12" s="47" t="n">
        <v>0</v>
      </c>
      <c r="F12" s="48"/>
      <c r="G12" s="49" t="n">
        <f aca="false">IF(C12="","",IF(F12&lt;&gt;"",F12,IF(E12="","",$C$6+E12)))</f>
        <v>46299</v>
      </c>
      <c r="H12" s="47" t="n">
        <v>3</v>
      </c>
      <c r="I12" s="49" t="n">
        <f aca="false">IF(OR(G12="",H12=""),"",G12+MAX(H12,1)-1)</f>
        <v>46301</v>
      </c>
      <c r="J12" s="47"/>
      <c r="K12" s="36" t="s">
        <v>34</v>
      </c>
      <c r="L12" s="50" t="n">
        <v>1</v>
      </c>
      <c r="M12" s="51" t="str">
        <f aca="true">IF(OR(C12="",I12=""),"",IF(AND(K12&lt;&gt;"Done",I12&lt;TODAY()),"Overdue",IF(AND(J12&lt;&gt;"",IFERROR(G12&lt;INDEX($I$12:$I$36,MATCH(J12,$A$12:$A$36,0)),FALSE())),"Check order","")))</f>
        <v/>
      </c>
      <c r="N12" s="35"/>
    </row>
    <row r="13" customFormat="false" ht="27.75" hidden="false" customHeight="true" outlineLevel="0" collapsed="false">
      <c r="A13" s="46" t="n">
        <f aca="false">IF(C13="","",ROW()-11)</f>
        <v>2</v>
      </c>
      <c r="B13" s="36" t="s">
        <v>204</v>
      </c>
      <c r="C13" s="35" t="s">
        <v>206</v>
      </c>
      <c r="D13" s="36" t="s">
        <v>202</v>
      </c>
      <c r="E13" s="47" t="n">
        <v>3</v>
      </c>
      <c r="F13" s="48"/>
      <c r="G13" s="49" t="n">
        <f aca="false">IF(C13="","",IF(F13&lt;&gt;"",F13,IF(E13="","",$C$6+E13)))</f>
        <v>46302</v>
      </c>
      <c r="H13" s="47" t="n">
        <v>3</v>
      </c>
      <c r="I13" s="49" t="n">
        <f aca="false">IF(OR(G13="",H13=""),"",G13+MAX(H13,1)-1)</f>
        <v>46304</v>
      </c>
      <c r="J13" s="47" t="n">
        <v>1</v>
      </c>
      <c r="K13" s="36" t="s">
        <v>34</v>
      </c>
      <c r="L13" s="50" t="n">
        <v>1</v>
      </c>
      <c r="M13" s="51" t="str">
        <f aca="true">IF(OR(C13="",I13=""),"",IF(AND(K13&lt;&gt;"Done",I13&lt;TODAY()),"Overdue",IF(AND(J13&lt;&gt;"",IFERROR(G13&lt;INDEX($I$12:$I$36,MATCH(J13,$A$12:$A$36,0)),FALSE())),"Check order","")))</f>
        <v/>
      </c>
      <c r="N13" s="35"/>
    </row>
    <row r="14" customFormat="false" ht="27.75" hidden="false" customHeight="true" outlineLevel="0" collapsed="false">
      <c r="A14" s="46" t="n">
        <f aca="false">IF(C14="","",ROW()-11)</f>
        <v>3</v>
      </c>
      <c r="B14" s="36" t="s">
        <v>204</v>
      </c>
      <c r="C14" s="35" t="s">
        <v>207</v>
      </c>
      <c r="D14" s="36" t="s">
        <v>202</v>
      </c>
      <c r="E14" s="47" t="n">
        <v>5</v>
      </c>
      <c r="F14" s="48"/>
      <c r="G14" s="49" t="n">
        <f aca="false">IF(C14="","",IF(F14&lt;&gt;"",F14,IF(E14="","",$C$6+E14)))</f>
        <v>46304</v>
      </c>
      <c r="H14" s="47" t="n">
        <v>4</v>
      </c>
      <c r="I14" s="49" t="n">
        <f aca="false">IF(OR(G14="",H14=""),"",G14+MAX(H14,1)-1)</f>
        <v>46307</v>
      </c>
      <c r="J14" s="47" t="n">
        <v>2</v>
      </c>
      <c r="K14" s="36" t="s">
        <v>34</v>
      </c>
      <c r="L14" s="50" t="n">
        <v>1</v>
      </c>
      <c r="M14" s="51" t="str">
        <f aca="true">IF(OR(C14="",I14=""),"",IF(AND(K14&lt;&gt;"Done",I14&lt;TODAY()),"Overdue",IF(AND(J14&lt;&gt;"",IFERROR(G14&lt;INDEX($I$12:$I$36,MATCH(J14,$A$12:$A$36,0)),FALSE())),"Check order","")))</f>
        <v/>
      </c>
      <c r="N14" s="35"/>
    </row>
    <row r="15" customFormat="false" ht="27.75" hidden="false" customHeight="true" outlineLevel="0" collapsed="false">
      <c r="A15" s="46" t="n">
        <f aca="false">IF(C15="","",ROW()-11)</f>
        <v>4</v>
      </c>
      <c r="B15" s="36" t="s">
        <v>145</v>
      </c>
      <c r="C15" s="35" t="s">
        <v>208</v>
      </c>
      <c r="D15" s="36" t="s">
        <v>129</v>
      </c>
      <c r="E15" s="47" t="n">
        <v>9</v>
      </c>
      <c r="F15" s="48"/>
      <c r="G15" s="49" t="n">
        <f aca="false">IF(C15="","",IF(F15&lt;&gt;"",F15,IF(E15="","",$C$6+E15)))</f>
        <v>46308</v>
      </c>
      <c r="H15" s="47" t="n">
        <v>7</v>
      </c>
      <c r="I15" s="49" t="n">
        <f aca="false">IF(OR(G15="",H15=""),"",G15+MAX(H15,1)-1)</f>
        <v>46314</v>
      </c>
      <c r="J15" s="47" t="n">
        <v>3</v>
      </c>
      <c r="K15" s="36" t="s">
        <v>133</v>
      </c>
      <c r="L15" s="50" t="n">
        <v>0.1</v>
      </c>
      <c r="M15" s="51" t="str">
        <f aca="true">IF(OR(C15="",I15=""),"",IF(AND(K15&lt;&gt;"Done",I15&lt;TODAY()),"Overdue",IF(AND(J15&lt;&gt;"",IFERROR(G15&lt;INDEX($I$12:$I$36,MATCH(J15,$A$12:$A$36,0)),FALSE())),"Check order","")))</f>
        <v/>
      </c>
      <c r="N15" s="35"/>
    </row>
    <row r="16" customFormat="false" ht="27.75" hidden="false" customHeight="true" outlineLevel="0" collapsed="false">
      <c r="A16" s="46" t="n">
        <f aca="false">IF(C16="","",ROW()-11)</f>
        <v>5</v>
      </c>
      <c r="B16" s="36" t="s">
        <v>145</v>
      </c>
      <c r="C16" s="35" t="s">
        <v>209</v>
      </c>
      <c r="D16" s="36" t="s">
        <v>132</v>
      </c>
      <c r="E16" s="47" t="n">
        <v>9</v>
      </c>
      <c r="F16" s="48"/>
      <c r="G16" s="49" t="n">
        <f aca="false">IF(C16="","",IF(F16&lt;&gt;"",F16,IF(E16="","",$C$6+E16)))</f>
        <v>46308</v>
      </c>
      <c r="H16" s="47" t="n">
        <v>10</v>
      </c>
      <c r="I16" s="49" t="n">
        <f aca="false">IF(OR(G16="",H16=""),"",G16+MAX(H16,1)-1)</f>
        <v>46317</v>
      </c>
      <c r="J16" s="47" t="n">
        <v>3</v>
      </c>
      <c r="K16" s="36" t="s">
        <v>133</v>
      </c>
      <c r="L16" s="50" t="n">
        <v>0.1</v>
      </c>
      <c r="M16" s="51" t="str">
        <f aca="true">IF(OR(C16="",I16=""),"",IF(AND(K16&lt;&gt;"Done",I16&lt;TODAY()),"Overdue",IF(AND(J16&lt;&gt;"",IFERROR(G16&lt;INDEX($I$12:$I$36,MATCH(J16,$A$12:$A$36,0)),FALSE())),"Check order","")))</f>
        <v/>
      </c>
      <c r="N16" s="35"/>
    </row>
    <row r="17" customFormat="false" ht="27.75" hidden="false" customHeight="true" outlineLevel="0" collapsed="false">
      <c r="A17" s="46" t="n">
        <f aca="false">IF(C17="","",ROW()-11)</f>
        <v>6</v>
      </c>
      <c r="B17" s="36" t="s">
        <v>145</v>
      </c>
      <c r="C17" s="35" t="s">
        <v>210</v>
      </c>
      <c r="D17" s="36" t="s">
        <v>132</v>
      </c>
      <c r="E17" s="47" t="n">
        <v>12</v>
      </c>
      <c r="F17" s="48"/>
      <c r="G17" s="49" t="n">
        <f aca="false">IF(C17="","",IF(F17&lt;&gt;"",F17,IF(E17="","",$C$6+E17)))</f>
        <v>46311</v>
      </c>
      <c r="H17" s="47" t="n">
        <v>4</v>
      </c>
      <c r="I17" s="49" t="n">
        <f aca="false">IF(OR(G17="",H17=""),"",G17+MAX(H17,1)-1)</f>
        <v>46314</v>
      </c>
      <c r="J17" s="47" t="n">
        <v>3</v>
      </c>
      <c r="K17" s="36" t="s">
        <v>144</v>
      </c>
      <c r="L17" s="50"/>
      <c r="M17" s="51" t="str">
        <f aca="true">IF(OR(C17="",I17=""),"",IF(AND(K17&lt;&gt;"Done",I17&lt;TODAY()),"Overdue",IF(AND(J17&lt;&gt;"",IFERROR(G17&lt;INDEX($I$12:$I$36,MATCH(J17,$A$12:$A$36,0)),FALSE())),"Check order","")))</f>
        <v/>
      </c>
      <c r="N17" s="35"/>
    </row>
    <row r="18" customFormat="false" ht="27.75" hidden="false" customHeight="true" outlineLevel="0" collapsed="false">
      <c r="A18" s="46" t="n">
        <f aca="false">IF(C18="","",ROW()-11)</f>
        <v>7</v>
      </c>
      <c r="B18" s="36" t="s">
        <v>145</v>
      </c>
      <c r="C18" s="35" t="s">
        <v>211</v>
      </c>
      <c r="D18" s="36" t="s">
        <v>132</v>
      </c>
      <c r="E18" s="47" t="n">
        <v>14</v>
      </c>
      <c r="F18" s="48"/>
      <c r="G18" s="49" t="n">
        <f aca="false">IF(C18="","",IF(F18&lt;&gt;"",F18,IF(E18="","",$C$6+E18)))</f>
        <v>46313</v>
      </c>
      <c r="H18" s="47" t="n">
        <v>5</v>
      </c>
      <c r="I18" s="49" t="n">
        <f aca="false">IF(OR(G18="",H18=""),"",G18+MAX(H18,1)-1)</f>
        <v>46317</v>
      </c>
      <c r="J18" s="47" t="n">
        <v>3</v>
      </c>
      <c r="K18" s="36" t="s">
        <v>144</v>
      </c>
      <c r="L18" s="50"/>
      <c r="M18" s="51" t="str">
        <f aca="true">IF(OR(C18="",I18=""),"",IF(AND(K18&lt;&gt;"Done",I18&lt;TODAY()),"Overdue",IF(AND(J18&lt;&gt;"",IFERROR(G18&lt;INDEX($I$12:$I$36,MATCH(J18,$A$12:$A$36,0)),FALSE())),"Check order","")))</f>
        <v/>
      </c>
      <c r="N18" s="35"/>
    </row>
    <row r="19" customFormat="false" ht="27.75" hidden="false" customHeight="true" outlineLevel="0" collapsed="false">
      <c r="A19" s="46" t="n">
        <f aca="false">IF(C19="","",ROW()-11)</f>
        <v>8</v>
      </c>
      <c r="B19" s="36" t="s">
        <v>145</v>
      </c>
      <c r="C19" s="35" t="s">
        <v>212</v>
      </c>
      <c r="D19" s="36" t="s">
        <v>129</v>
      </c>
      <c r="E19" s="47" t="n">
        <v>16</v>
      </c>
      <c r="F19" s="48"/>
      <c r="G19" s="49" t="n">
        <f aca="false">IF(C19="","",IF(F19&lt;&gt;"",F19,IF(E19="","",$C$6+E19)))</f>
        <v>46315</v>
      </c>
      <c r="H19" s="47" t="n">
        <v>3</v>
      </c>
      <c r="I19" s="49" t="n">
        <f aca="false">IF(OR(G19="",H19=""),"",G19+MAX(H19,1)-1)</f>
        <v>46317</v>
      </c>
      <c r="J19" s="47" t="n">
        <v>4</v>
      </c>
      <c r="K19" s="36" t="s">
        <v>144</v>
      </c>
      <c r="L19" s="50"/>
      <c r="M19" s="51" t="str">
        <f aca="true">IF(OR(C19="",I19=""),"",IF(AND(K19&lt;&gt;"Done",I19&lt;TODAY()),"Overdue",IF(AND(J19&lt;&gt;"",IFERROR(G19&lt;INDEX($I$12:$I$36,MATCH(J19,$A$12:$A$36,0)),FALSE())),"Check order","")))</f>
        <v/>
      </c>
      <c r="N19" s="35"/>
    </row>
    <row r="20" customFormat="false" ht="27.75" hidden="false" customHeight="true" outlineLevel="0" collapsed="false">
      <c r="A20" s="46" t="n">
        <f aca="false">IF(C20="","",ROW()-11)</f>
        <v>9</v>
      </c>
      <c r="B20" s="36" t="s">
        <v>150</v>
      </c>
      <c r="C20" s="35" t="s">
        <v>213</v>
      </c>
      <c r="D20" s="36" t="s">
        <v>202</v>
      </c>
      <c r="E20" s="47" t="n">
        <v>19</v>
      </c>
      <c r="F20" s="48"/>
      <c r="G20" s="49" t="n">
        <f aca="false">IF(C20="","",IF(F20&lt;&gt;"",F20,IF(E20="","",$C$6+E20)))</f>
        <v>46318</v>
      </c>
      <c r="H20" s="47" t="n">
        <v>2</v>
      </c>
      <c r="I20" s="49" t="n">
        <f aca="false">IF(OR(G20="",H20=""),"",G20+MAX(H20,1)-1)</f>
        <v>46319</v>
      </c>
      <c r="J20" s="47" t="n">
        <v>8</v>
      </c>
      <c r="K20" s="36" t="s">
        <v>144</v>
      </c>
      <c r="L20" s="50"/>
      <c r="M20" s="51" t="str">
        <f aca="true">IF(OR(C20="",I20=""),"",IF(AND(K20&lt;&gt;"Done",I20&lt;TODAY()),"Overdue",IF(AND(J20&lt;&gt;"",IFERROR(G20&lt;INDEX($I$12:$I$36,MATCH(J20,$A$12:$A$36,0)),FALSE())),"Check order","")))</f>
        <v/>
      </c>
      <c r="N20" s="35"/>
    </row>
    <row r="21" customFormat="false" ht="27.75" hidden="false" customHeight="true" outlineLevel="0" collapsed="false">
      <c r="A21" s="46" t="n">
        <f aca="false">IF(C21="","",ROW()-11)</f>
        <v>10</v>
      </c>
      <c r="B21" s="36" t="s">
        <v>150</v>
      </c>
      <c r="C21" s="35" t="s">
        <v>214</v>
      </c>
      <c r="D21" s="36" t="s">
        <v>129</v>
      </c>
      <c r="E21" s="47" t="n">
        <v>21</v>
      </c>
      <c r="F21" s="48"/>
      <c r="G21" s="49" t="n">
        <f aca="false">IF(C21="","",IF(F21&lt;&gt;"",F21,IF(E21="","",$C$6+E21)))</f>
        <v>46320</v>
      </c>
      <c r="H21" s="47" t="n">
        <v>1</v>
      </c>
      <c r="I21" s="49" t="n">
        <f aca="false">IF(OR(G21="",H21=""),"",G21+MAX(H21,1)-1)</f>
        <v>46320</v>
      </c>
      <c r="J21" s="47" t="n">
        <v>9</v>
      </c>
      <c r="K21" s="36" t="s">
        <v>144</v>
      </c>
      <c r="L21" s="50"/>
      <c r="M21" s="51" t="str">
        <f aca="true">IF(OR(C21="",I21=""),"",IF(AND(K21&lt;&gt;"Done",I21&lt;TODAY()),"Overdue",IF(AND(J21&lt;&gt;"",IFERROR(G21&lt;INDEX($I$12:$I$36,MATCH(J21,$A$12:$A$36,0)),FALSE())),"Check order","")))</f>
        <v/>
      </c>
      <c r="N21" s="35"/>
    </row>
    <row r="22" customFormat="false" ht="27.75" hidden="false" customHeight="true" outlineLevel="0" collapsed="false">
      <c r="A22" s="46" t="n">
        <f aca="false">IF(C22="","",ROW()-11)</f>
        <v>11</v>
      </c>
      <c r="B22" s="36" t="s">
        <v>215</v>
      </c>
      <c r="C22" s="35" t="s">
        <v>216</v>
      </c>
      <c r="D22" s="36" t="s">
        <v>129</v>
      </c>
      <c r="E22" s="47" t="n">
        <v>22</v>
      </c>
      <c r="F22" s="48"/>
      <c r="G22" s="49" t="n">
        <f aca="false">IF(C22="","",IF(F22&lt;&gt;"",F22,IF(E22="","",$C$6+E22)))</f>
        <v>46321</v>
      </c>
      <c r="H22" s="47" t="n">
        <v>28</v>
      </c>
      <c r="I22" s="49" t="n">
        <f aca="false">IF(OR(G22="",H22=""),"",G22+MAX(H22,1)-1)</f>
        <v>46348</v>
      </c>
      <c r="J22" s="47" t="n">
        <v>10</v>
      </c>
      <c r="K22" s="36" t="s">
        <v>144</v>
      </c>
      <c r="L22" s="50"/>
      <c r="M22" s="51" t="str">
        <f aca="true">IF(OR(C22="",I22=""),"",IF(AND(K22&lt;&gt;"Done",I22&lt;TODAY()),"Overdue",IF(AND(J22&lt;&gt;"",IFERROR(G22&lt;INDEX($I$12:$I$36,MATCH(J22,$A$12:$A$36,0)),FALSE())),"Check order","")))</f>
        <v/>
      </c>
      <c r="N22" s="35"/>
    </row>
    <row r="23" customFormat="false" ht="27.75" hidden="false" customHeight="true" outlineLevel="0" collapsed="false">
      <c r="A23" s="46" t="n">
        <f aca="false">IF(C23="","",ROW()-11)</f>
        <v>12</v>
      </c>
      <c r="B23" s="36" t="s">
        <v>215</v>
      </c>
      <c r="C23" s="35" t="s">
        <v>217</v>
      </c>
      <c r="D23" s="36" t="s">
        <v>56</v>
      </c>
      <c r="E23" s="47" t="n">
        <v>35</v>
      </c>
      <c r="F23" s="48"/>
      <c r="G23" s="49" t="n">
        <f aca="false">IF(C23="","",IF(F23&lt;&gt;"",F23,IF(E23="","",$C$6+E23)))</f>
        <v>46334</v>
      </c>
      <c r="H23" s="47" t="n">
        <v>1</v>
      </c>
      <c r="I23" s="49" t="n">
        <f aca="false">IF(OR(G23="",H23=""),"",G23+MAX(H23,1)-1)</f>
        <v>46334</v>
      </c>
      <c r="J23" s="47" t="n">
        <v>10</v>
      </c>
      <c r="K23" s="36" t="s">
        <v>144</v>
      </c>
      <c r="L23" s="50"/>
      <c r="M23" s="51" t="str">
        <f aca="true">IF(OR(C23="",I23=""),"",IF(AND(K23&lt;&gt;"Done",I23&lt;TODAY()),"Overdue",IF(AND(J23&lt;&gt;"",IFERROR(G23&lt;INDEX($I$12:$I$36,MATCH(J23,$A$12:$A$36,0)),FALSE())),"Check order","")))</f>
        <v/>
      </c>
      <c r="N23" s="35"/>
    </row>
    <row r="24" customFormat="false" ht="27.75" hidden="false" customHeight="true" outlineLevel="0" collapsed="false">
      <c r="A24" s="46" t="n">
        <f aca="false">IF(C24="","",ROW()-11)</f>
        <v>13</v>
      </c>
      <c r="B24" s="36" t="s">
        <v>218</v>
      </c>
      <c r="C24" s="35" t="s">
        <v>219</v>
      </c>
      <c r="D24" s="36" t="s">
        <v>202</v>
      </c>
      <c r="E24" s="47" t="n">
        <v>50</v>
      </c>
      <c r="F24" s="48"/>
      <c r="G24" s="49" t="n">
        <f aca="false">IF(C24="","",IF(F24&lt;&gt;"",F24,IF(E24="","",$C$6+E24)))</f>
        <v>46349</v>
      </c>
      <c r="H24" s="47" t="n">
        <v>3</v>
      </c>
      <c r="I24" s="49" t="n">
        <f aca="false">IF(OR(G24="",H24=""),"",G24+MAX(H24,1)-1)</f>
        <v>46351</v>
      </c>
      <c r="J24" s="47" t="n">
        <v>11</v>
      </c>
      <c r="K24" s="36" t="s">
        <v>144</v>
      </c>
      <c r="L24" s="50"/>
      <c r="M24" s="51" t="str">
        <f aca="true">IF(OR(C24="",I24=""),"",IF(AND(K24&lt;&gt;"Done",I24&lt;TODAY()),"Overdue",IF(AND(J24&lt;&gt;"",IFERROR(G24&lt;INDEX($I$12:$I$36,MATCH(J24,$A$12:$A$36,0)),FALSE())),"Check order","")))</f>
        <v/>
      </c>
      <c r="N24" s="35"/>
    </row>
    <row r="25" customFormat="false" ht="15" hidden="false" customHeight="true" outlineLevel="0" collapsed="false">
      <c r="A25" s="46" t="str">
        <f aca="false">IF(C25="","",ROW()-11)</f>
        <v/>
      </c>
      <c r="B25" s="36"/>
      <c r="C25" s="35"/>
      <c r="D25" s="36"/>
      <c r="E25" s="47"/>
      <c r="F25" s="48"/>
      <c r="G25" s="49" t="str">
        <f aca="false">IF(C25="","",IF(F25&lt;&gt;"",F25,IF(E25="","",$C$6+E25)))</f>
        <v/>
      </c>
      <c r="H25" s="47"/>
      <c r="I25" s="49" t="str">
        <f aca="false">IF(OR(G25="",H25=""),"",G25+MAX(H25,1)-1)</f>
        <v/>
      </c>
      <c r="J25" s="47"/>
      <c r="K25" s="36"/>
      <c r="L25" s="50"/>
      <c r="M25" s="51" t="str">
        <f aca="true">IF(OR(C25="",I25=""),"",IF(AND(K25&lt;&gt;"Done",I25&lt;TODAY()),"Overdue",IF(AND(J25&lt;&gt;"",IFERROR(G25&lt;INDEX($I$12:$I$36,MATCH(J25,$A$12:$A$36,0)),FALSE())),"Check order","")))</f>
        <v/>
      </c>
      <c r="N25" s="35"/>
    </row>
    <row r="26" customFormat="false" ht="15" hidden="false" customHeight="true" outlineLevel="0" collapsed="false">
      <c r="A26" s="46" t="str">
        <f aca="false">IF(C26="","",ROW()-11)</f>
        <v/>
      </c>
      <c r="B26" s="36"/>
      <c r="C26" s="35"/>
      <c r="D26" s="36"/>
      <c r="E26" s="47"/>
      <c r="F26" s="48"/>
      <c r="G26" s="49" t="str">
        <f aca="false">IF(C26="","",IF(F26&lt;&gt;"",F26,IF(E26="","",$C$6+E26)))</f>
        <v/>
      </c>
      <c r="H26" s="47"/>
      <c r="I26" s="49" t="str">
        <f aca="false">IF(OR(G26="",H26=""),"",G26+MAX(H26,1)-1)</f>
        <v/>
      </c>
      <c r="J26" s="47"/>
      <c r="K26" s="36"/>
      <c r="L26" s="50"/>
      <c r="M26" s="51" t="str">
        <f aca="true">IF(OR(C26="",I26=""),"",IF(AND(K26&lt;&gt;"Done",I26&lt;TODAY()),"Overdue",IF(AND(J26&lt;&gt;"",IFERROR(G26&lt;INDEX($I$12:$I$36,MATCH(J26,$A$12:$A$36,0)),FALSE())),"Check order","")))</f>
        <v/>
      </c>
      <c r="N26" s="35"/>
    </row>
    <row r="27" customFormat="false" ht="15" hidden="false" customHeight="true" outlineLevel="0" collapsed="false">
      <c r="A27" s="46" t="str">
        <f aca="false">IF(C27="","",ROW()-11)</f>
        <v/>
      </c>
      <c r="B27" s="36"/>
      <c r="C27" s="35"/>
      <c r="D27" s="36"/>
      <c r="E27" s="47"/>
      <c r="F27" s="48"/>
      <c r="G27" s="49" t="str">
        <f aca="false">IF(C27="","",IF(F27&lt;&gt;"",F27,IF(E27="","",$C$6+E27)))</f>
        <v/>
      </c>
      <c r="H27" s="47"/>
      <c r="I27" s="49" t="str">
        <f aca="false">IF(OR(G27="",H27=""),"",G27+MAX(H27,1)-1)</f>
        <v/>
      </c>
      <c r="J27" s="47"/>
      <c r="K27" s="36"/>
      <c r="L27" s="50"/>
      <c r="M27" s="51" t="str">
        <f aca="true">IF(OR(C27="",I27=""),"",IF(AND(K27&lt;&gt;"Done",I27&lt;TODAY()),"Overdue",IF(AND(J27&lt;&gt;"",IFERROR(G27&lt;INDEX($I$12:$I$36,MATCH(J27,$A$12:$A$36,0)),FALSE())),"Check order","")))</f>
        <v/>
      </c>
      <c r="N27" s="35"/>
    </row>
    <row r="28" customFormat="false" ht="15" hidden="false" customHeight="true" outlineLevel="0" collapsed="false">
      <c r="A28" s="46" t="str">
        <f aca="false">IF(C28="","",ROW()-11)</f>
        <v/>
      </c>
      <c r="B28" s="36"/>
      <c r="C28" s="35"/>
      <c r="D28" s="36"/>
      <c r="E28" s="47"/>
      <c r="F28" s="48"/>
      <c r="G28" s="49" t="str">
        <f aca="false">IF(C28="","",IF(F28&lt;&gt;"",F28,IF(E28="","",$C$6+E28)))</f>
        <v/>
      </c>
      <c r="H28" s="47"/>
      <c r="I28" s="49" t="str">
        <f aca="false">IF(OR(G28="",H28=""),"",G28+MAX(H28,1)-1)</f>
        <v/>
      </c>
      <c r="J28" s="47"/>
      <c r="K28" s="36"/>
      <c r="L28" s="50"/>
      <c r="M28" s="51" t="str">
        <f aca="true">IF(OR(C28="",I28=""),"",IF(AND(K28&lt;&gt;"Done",I28&lt;TODAY()),"Overdue",IF(AND(J28&lt;&gt;"",IFERROR(G28&lt;INDEX($I$12:$I$36,MATCH(J28,$A$12:$A$36,0)),FALSE())),"Check order","")))</f>
        <v/>
      </c>
      <c r="N28" s="35"/>
    </row>
    <row r="29" customFormat="false" ht="15" hidden="false" customHeight="true" outlineLevel="0" collapsed="false">
      <c r="A29" s="46" t="str">
        <f aca="false">IF(C29="","",ROW()-11)</f>
        <v/>
      </c>
      <c r="B29" s="36"/>
      <c r="C29" s="35"/>
      <c r="D29" s="36"/>
      <c r="E29" s="47"/>
      <c r="F29" s="48"/>
      <c r="G29" s="49" t="str">
        <f aca="false">IF(C29="","",IF(F29&lt;&gt;"",F29,IF(E29="","",$C$6+E29)))</f>
        <v/>
      </c>
      <c r="H29" s="47"/>
      <c r="I29" s="49" t="str">
        <f aca="false">IF(OR(G29="",H29=""),"",G29+MAX(H29,1)-1)</f>
        <v/>
      </c>
      <c r="J29" s="47"/>
      <c r="K29" s="36"/>
      <c r="L29" s="50"/>
      <c r="M29" s="51" t="str">
        <f aca="true">IF(OR(C29="",I29=""),"",IF(AND(K29&lt;&gt;"Done",I29&lt;TODAY()),"Overdue",IF(AND(J29&lt;&gt;"",IFERROR(G29&lt;INDEX($I$12:$I$36,MATCH(J29,$A$12:$A$36,0)),FALSE())),"Check order","")))</f>
        <v/>
      </c>
      <c r="N29" s="35"/>
    </row>
    <row r="30" customFormat="false" ht="15" hidden="false" customHeight="true" outlineLevel="0" collapsed="false">
      <c r="A30" s="46" t="str">
        <f aca="false">IF(C30="","",ROW()-11)</f>
        <v/>
      </c>
      <c r="B30" s="36"/>
      <c r="C30" s="35"/>
      <c r="D30" s="36"/>
      <c r="E30" s="47"/>
      <c r="F30" s="48"/>
      <c r="G30" s="49" t="str">
        <f aca="false">IF(C30="","",IF(F30&lt;&gt;"",F30,IF(E30="","",$C$6+E30)))</f>
        <v/>
      </c>
      <c r="H30" s="47"/>
      <c r="I30" s="49" t="str">
        <f aca="false">IF(OR(G30="",H30=""),"",G30+MAX(H30,1)-1)</f>
        <v/>
      </c>
      <c r="J30" s="47"/>
      <c r="K30" s="36"/>
      <c r="L30" s="50"/>
      <c r="M30" s="51" t="str">
        <f aca="true">IF(OR(C30="",I30=""),"",IF(AND(K30&lt;&gt;"Done",I30&lt;TODAY()),"Overdue",IF(AND(J30&lt;&gt;"",IFERROR(G30&lt;INDEX($I$12:$I$36,MATCH(J30,$A$12:$A$36,0)),FALSE())),"Check order","")))</f>
        <v/>
      </c>
      <c r="N30" s="35"/>
    </row>
    <row r="31" customFormat="false" ht="15" hidden="false" customHeight="true" outlineLevel="0" collapsed="false">
      <c r="A31" s="46" t="str">
        <f aca="false">IF(C31="","",ROW()-11)</f>
        <v/>
      </c>
      <c r="B31" s="36"/>
      <c r="C31" s="35"/>
      <c r="D31" s="36"/>
      <c r="E31" s="47"/>
      <c r="F31" s="48"/>
      <c r="G31" s="49" t="str">
        <f aca="false">IF(C31="","",IF(F31&lt;&gt;"",F31,IF(E31="","",$C$6+E31)))</f>
        <v/>
      </c>
      <c r="H31" s="47"/>
      <c r="I31" s="49" t="str">
        <f aca="false">IF(OR(G31="",H31=""),"",G31+MAX(H31,1)-1)</f>
        <v/>
      </c>
      <c r="J31" s="47"/>
      <c r="K31" s="36"/>
      <c r="L31" s="50"/>
      <c r="M31" s="51" t="str">
        <f aca="true">IF(OR(C31="",I31=""),"",IF(AND(K31&lt;&gt;"Done",I31&lt;TODAY()),"Overdue",IF(AND(J31&lt;&gt;"",IFERROR(G31&lt;INDEX($I$12:$I$36,MATCH(J31,$A$12:$A$36,0)),FALSE())),"Check order","")))</f>
        <v/>
      </c>
      <c r="N31" s="35"/>
    </row>
    <row r="32" customFormat="false" ht="15" hidden="false" customHeight="true" outlineLevel="0" collapsed="false">
      <c r="A32" s="46" t="str">
        <f aca="false">IF(C32="","",ROW()-11)</f>
        <v/>
      </c>
      <c r="B32" s="36"/>
      <c r="C32" s="35"/>
      <c r="D32" s="36"/>
      <c r="E32" s="47"/>
      <c r="F32" s="48"/>
      <c r="G32" s="49" t="str">
        <f aca="false">IF(C32="","",IF(F32&lt;&gt;"",F32,IF(E32="","",$C$6+E32)))</f>
        <v/>
      </c>
      <c r="H32" s="47"/>
      <c r="I32" s="49" t="str">
        <f aca="false">IF(OR(G32="",H32=""),"",G32+MAX(H32,1)-1)</f>
        <v/>
      </c>
      <c r="J32" s="47"/>
      <c r="K32" s="36"/>
      <c r="L32" s="50"/>
      <c r="M32" s="51" t="str">
        <f aca="true">IF(OR(C32="",I32=""),"",IF(AND(K32&lt;&gt;"Done",I32&lt;TODAY()),"Overdue",IF(AND(J32&lt;&gt;"",IFERROR(G32&lt;INDEX($I$12:$I$36,MATCH(J32,$A$12:$A$36,0)),FALSE())),"Check order","")))</f>
        <v/>
      </c>
      <c r="N32" s="35"/>
    </row>
    <row r="33" customFormat="false" ht="15" hidden="false" customHeight="true" outlineLevel="0" collapsed="false">
      <c r="A33" s="46" t="str">
        <f aca="false">IF(C33="","",ROW()-11)</f>
        <v/>
      </c>
      <c r="B33" s="36"/>
      <c r="C33" s="35"/>
      <c r="D33" s="36"/>
      <c r="E33" s="47"/>
      <c r="F33" s="48"/>
      <c r="G33" s="49" t="str">
        <f aca="false">IF(C33="","",IF(F33&lt;&gt;"",F33,IF(E33="","",$C$6+E33)))</f>
        <v/>
      </c>
      <c r="H33" s="47"/>
      <c r="I33" s="49" t="str">
        <f aca="false">IF(OR(G33="",H33=""),"",G33+MAX(H33,1)-1)</f>
        <v/>
      </c>
      <c r="J33" s="47"/>
      <c r="K33" s="36"/>
      <c r="L33" s="50"/>
      <c r="M33" s="51" t="str">
        <f aca="true">IF(OR(C33="",I33=""),"",IF(AND(K33&lt;&gt;"Done",I33&lt;TODAY()),"Overdue",IF(AND(J33&lt;&gt;"",IFERROR(G33&lt;INDEX($I$12:$I$36,MATCH(J33,$A$12:$A$36,0)),FALSE())),"Check order","")))</f>
        <v/>
      </c>
      <c r="N33" s="35"/>
    </row>
    <row r="34" customFormat="false" ht="15" hidden="false" customHeight="true" outlineLevel="0" collapsed="false">
      <c r="A34" s="46" t="str">
        <f aca="false">IF(C34="","",ROW()-11)</f>
        <v/>
      </c>
      <c r="B34" s="36"/>
      <c r="C34" s="35"/>
      <c r="D34" s="36"/>
      <c r="E34" s="47"/>
      <c r="F34" s="48"/>
      <c r="G34" s="49" t="str">
        <f aca="false">IF(C34="","",IF(F34&lt;&gt;"",F34,IF(E34="","",$C$6+E34)))</f>
        <v/>
      </c>
      <c r="H34" s="47"/>
      <c r="I34" s="49" t="str">
        <f aca="false">IF(OR(G34="",H34=""),"",G34+MAX(H34,1)-1)</f>
        <v/>
      </c>
      <c r="J34" s="47"/>
      <c r="K34" s="36"/>
      <c r="L34" s="50"/>
      <c r="M34" s="51" t="str">
        <f aca="true">IF(OR(C34="",I34=""),"",IF(AND(K34&lt;&gt;"Done",I34&lt;TODAY()),"Overdue",IF(AND(J34&lt;&gt;"",IFERROR(G34&lt;INDEX($I$12:$I$36,MATCH(J34,$A$12:$A$36,0)),FALSE())),"Check order","")))</f>
        <v/>
      </c>
      <c r="N34" s="35"/>
    </row>
    <row r="35" customFormat="false" ht="15" hidden="false" customHeight="true" outlineLevel="0" collapsed="false">
      <c r="A35" s="46" t="str">
        <f aca="false">IF(C35="","",ROW()-11)</f>
        <v/>
      </c>
      <c r="B35" s="36"/>
      <c r="C35" s="35"/>
      <c r="D35" s="36"/>
      <c r="E35" s="47"/>
      <c r="F35" s="48"/>
      <c r="G35" s="49" t="str">
        <f aca="false">IF(C35="","",IF(F35&lt;&gt;"",F35,IF(E35="","",$C$6+E35)))</f>
        <v/>
      </c>
      <c r="H35" s="47"/>
      <c r="I35" s="49" t="str">
        <f aca="false">IF(OR(G35="",H35=""),"",G35+MAX(H35,1)-1)</f>
        <v/>
      </c>
      <c r="J35" s="47"/>
      <c r="K35" s="36"/>
      <c r="L35" s="50"/>
      <c r="M35" s="51" t="str">
        <f aca="true">IF(OR(C35="",I35=""),"",IF(AND(K35&lt;&gt;"Done",I35&lt;TODAY()),"Overdue",IF(AND(J35&lt;&gt;"",IFERROR(G35&lt;INDEX($I$12:$I$36,MATCH(J35,$A$12:$A$36,0)),FALSE())),"Check order","")))</f>
        <v/>
      </c>
      <c r="N35" s="35"/>
    </row>
    <row r="36" customFormat="false" ht="15" hidden="false" customHeight="true" outlineLevel="0" collapsed="false">
      <c r="A36" s="46" t="str">
        <f aca="false">IF(C36="","",ROW()-11)</f>
        <v/>
      </c>
      <c r="B36" s="36"/>
      <c r="C36" s="35"/>
      <c r="D36" s="36"/>
      <c r="E36" s="47"/>
      <c r="F36" s="48"/>
      <c r="G36" s="49" t="str">
        <f aca="false">IF(C36="","",IF(F36&lt;&gt;"",F36,IF(E36="","",$C$6+E36)))</f>
        <v/>
      </c>
      <c r="H36" s="47"/>
      <c r="I36" s="49" t="str">
        <f aca="false">IF(OR(G36="",H36=""),"",G36+MAX(H36,1)-1)</f>
        <v/>
      </c>
      <c r="J36" s="47"/>
      <c r="K36" s="36"/>
      <c r="L36" s="50"/>
      <c r="M36" s="51" t="str">
        <f aca="true">IF(OR(C36="",I36=""),"",IF(AND(K36&lt;&gt;"Done",I36&lt;TODAY()),"Overdue",IF(AND(J36&lt;&gt;"",IFERROR(G36&lt;INDEX($I$12:$I$36,MATCH(J36,$A$12:$A$36,0)),FALSE())),"Check order","")))</f>
        <v/>
      </c>
      <c r="N36" s="35"/>
    </row>
    <row r="37" customFormat="false" ht="15" hidden="false" customHeight="false" outlineLevel="0" collapsed="false">
      <c r="C37" s="25" t="s">
        <v>159</v>
      </c>
    </row>
    <row r="39" customFormat="false" ht="15" hidden="false" customHeight="false" outlineLevel="0" collapsed="false">
      <c r="B39" s="26" t="s">
        <v>220</v>
      </c>
      <c r="C39" s="6"/>
      <c r="D39" s="6"/>
      <c r="E39" s="6"/>
      <c r="F39" s="6"/>
      <c r="G39" s="6"/>
      <c r="H39" s="6"/>
      <c r="I39" s="6"/>
      <c r="J39" s="6"/>
      <c r="K39" s="6"/>
      <c r="L39" s="6"/>
      <c r="M39" s="6"/>
    </row>
    <row r="40" customFormat="false" ht="30" hidden="false" customHeight="true" outlineLevel="0" collapsed="false">
      <c r="A40" s="18"/>
      <c r="B40" s="52" t="s">
        <v>221</v>
      </c>
      <c r="C40" s="52"/>
      <c r="D40" s="18" t="s">
        <v>222</v>
      </c>
      <c r="E40" s="18" t="s">
        <v>223</v>
      </c>
      <c r="F40" s="18" t="s">
        <v>56</v>
      </c>
      <c r="G40" s="18" t="s">
        <v>224</v>
      </c>
      <c r="H40" s="18" t="s">
        <v>121</v>
      </c>
      <c r="I40" s="52" t="s">
        <v>225</v>
      </c>
      <c r="J40" s="52"/>
      <c r="K40" s="52"/>
      <c r="L40" s="52"/>
      <c r="M40" s="52"/>
    </row>
    <row r="41" customFormat="false" ht="15" hidden="false" customHeight="false" outlineLevel="0" collapsed="false">
      <c r="B41" s="53" t="s">
        <v>226</v>
      </c>
      <c r="C41" s="53"/>
      <c r="D41" s="36" t="s">
        <v>227</v>
      </c>
      <c r="E41" s="36" t="s">
        <v>228</v>
      </c>
      <c r="F41" s="36" t="s">
        <v>129</v>
      </c>
      <c r="G41" s="56" t="n">
        <f aca="false">$C$6+16</f>
        <v>46315</v>
      </c>
      <c r="H41" s="36" t="s">
        <v>133</v>
      </c>
      <c r="I41" s="53"/>
      <c r="J41" s="53"/>
      <c r="K41" s="53"/>
      <c r="L41" s="53"/>
      <c r="M41" s="53"/>
    </row>
    <row r="42" customFormat="false" ht="15" hidden="false" customHeight="false" outlineLevel="0" collapsed="false">
      <c r="B42" s="53" t="s">
        <v>229</v>
      </c>
      <c r="C42" s="53"/>
      <c r="D42" s="36" t="s">
        <v>230</v>
      </c>
      <c r="E42" s="36" t="s">
        <v>231</v>
      </c>
      <c r="F42" s="36" t="s">
        <v>132</v>
      </c>
      <c r="G42" s="56" t="n">
        <f aca="false">$C$6+18</f>
        <v>46317</v>
      </c>
      <c r="H42" s="36" t="s">
        <v>144</v>
      </c>
      <c r="I42" s="53"/>
      <c r="J42" s="53"/>
      <c r="K42" s="53"/>
      <c r="L42" s="53"/>
      <c r="M42" s="53"/>
    </row>
    <row r="43" customFormat="false" ht="15" hidden="false" customHeight="false" outlineLevel="0" collapsed="false">
      <c r="B43" s="53" t="s">
        <v>232</v>
      </c>
      <c r="C43" s="53"/>
      <c r="D43" s="36" t="s">
        <v>230</v>
      </c>
      <c r="E43" s="36" t="s">
        <v>233</v>
      </c>
      <c r="F43" s="36" t="s">
        <v>132</v>
      </c>
      <c r="G43" s="56" t="n">
        <f aca="false">$C$6+18</f>
        <v>46317</v>
      </c>
      <c r="H43" s="36" t="s">
        <v>144</v>
      </c>
      <c r="I43" s="53"/>
      <c r="J43" s="53"/>
      <c r="K43" s="53"/>
      <c r="L43" s="53"/>
      <c r="M43" s="53"/>
    </row>
    <row r="44" customFormat="false" ht="15" hidden="false" customHeight="false" outlineLevel="0" collapsed="false">
      <c r="B44" s="53" t="s">
        <v>234</v>
      </c>
      <c r="C44" s="53"/>
      <c r="D44" s="36" t="s">
        <v>235</v>
      </c>
      <c r="E44" s="36" t="s">
        <v>236</v>
      </c>
      <c r="F44" s="36" t="s">
        <v>132</v>
      </c>
      <c r="G44" s="56" t="n">
        <f aca="false">$C$6+18</f>
        <v>46317</v>
      </c>
      <c r="H44" s="36" t="s">
        <v>144</v>
      </c>
      <c r="I44" s="53"/>
      <c r="J44" s="53"/>
      <c r="K44" s="53"/>
      <c r="L44" s="53"/>
      <c r="M44" s="53"/>
    </row>
    <row r="45" customFormat="false" ht="15" hidden="false" customHeight="false" outlineLevel="0" collapsed="false">
      <c r="B45" s="53" t="s">
        <v>237</v>
      </c>
      <c r="C45" s="53"/>
      <c r="D45" s="36" t="s">
        <v>238</v>
      </c>
      <c r="E45" s="36" t="s">
        <v>239</v>
      </c>
      <c r="F45" s="36" t="s">
        <v>129</v>
      </c>
      <c r="G45" s="56" t="n">
        <f aca="false">$C$6+18</f>
        <v>46317</v>
      </c>
      <c r="H45" s="36" t="s">
        <v>144</v>
      </c>
      <c r="I45" s="53"/>
      <c r="J45" s="53"/>
      <c r="K45" s="53"/>
      <c r="L45" s="53"/>
      <c r="M45" s="53"/>
    </row>
    <row r="46" customFormat="false" ht="15" hidden="false" customHeight="false" outlineLevel="0" collapsed="false">
      <c r="B46" s="53" t="s">
        <v>240</v>
      </c>
      <c r="C46" s="53"/>
      <c r="D46" s="36" t="s">
        <v>241</v>
      </c>
      <c r="E46" s="36" t="s">
        <v>242</v>
      </c>
      <c r="F46" s="36" t="s">
        <v>132</v>
      </c>
      <c r="G46" s="56" t="n">
        <f aca="false">$C$6+19</f>
        <v>46318</v>
      </c>
      <c r="H46" s="36" t="s">
        <v>144</v>
      </c>
      <c r="I46" s="53"/>
      <c r="J46" s="53"/>
      <c r="K46" s="53"/>
      <c r="L46" s="53"/>
      <c r="M46" s="53"/>
    </row>
    <row r="47" customFormat="false" ht="15" hidden="false" customHeight="false" outlineLevel="0" collapsed="false">
      <c r="B47" s="53" t="s">
        <v>243</v>
      </c>
      <c r="C47" s="53"/>
      <c r="D47" s="36" t="s">
        <v>241</v>
      </c>
      <c r="E47" s="36"/>
      <c r="F47" s="36" t="s">
        <v>132</v>
      </c>
      <c r="G47" s="56" t="n">
        <f aca="false">$C$6+19</f>
        <v>46318</v>
      </c>
      <c r="H47" s="36" t="s">
        <v>144</v>
      </c>
      <c r="I47" s="53"/>
      <c r="J47" s="53"/>
      <c r="K47" s="53"/>
      <c r="L47" s="53"/>
      <c r="M47" s="53"/>
    </row>
    <row r="48" customFormat="false" ht="15" hidden="false" customHeight="false" outlineLevel="0" collapsed="false">
      <c r="B48" s="53" t="s">
        <v>244</v>
      </c>
      <c r="C48" s="53"/>
      <c r="D48" s="36" t="s">
        <v>241</v>
      </c>
      <c r="E48" s="36"/>
      <c r="F48" s="36" t="s">
        <v>132</v>
      </c>
      <c r="G48" s="56" t="n">
        <f aca="false">$C$6+19</f>
        <v>46318</v>
      </c>
      <c r="H48" s="36" t="s">
        <v>144</v>
      </c>
      <c r="I48" s="53"/>
      <c r="J48" s="53"/>
      <c r="K48" s="53"/>
      <c r="L48" s="53"/>
      <c r="M48" s="53"/>
    </row>
    <row r="49" customFormat="false" ht="15" hidden="false" customHeight="false" outlineLevel="0" collapsed="false">
      <c r="B49" s="53"/>
      <c r="C49" s="53"/>
      <c r="D49" s="36"/>
      <c r="E49" s="36"/>
      <c r="F49" s="36"/>
      <c r="G49" s="48"/>
      <c r="H49" s="36"/>
      <c r="I49" s="53"/>
      <c r="J49" s="53"/>
      <c r="K49" s="53"/>
      <c r="L49" s="53"/>
      <c r="M49" s="53"/>
    </row>
    <row r="50" customFormat="false" ht="15" hidden="false" customHeight="false" outlineLevel="0" collapsed="false">
      <c r="B50" s="53"/>
      <c r="C50" s="53"/>
      <c r="D50" s="36"/>
      <c r="E50" s="36"/>
      <c r="F50" s="36"/>
      <c r="G50" s="48"/>
      <c r="H50" s="36"/>
      <c r="I50" s="53"/>
      <c r="J50" s="53"/>
      <c r="K50" s="53"/>
      <c r="L50" s="53"/>
      <c r="M50" s="53"/>
    </row>
    <row r="51" customFormat="false" ht="15" hidden="false" customHeight="false" outlineLevel="0" collapsed="false">
      <c r="B51" s="53"/>
      <c r="C51" s="53"/>
      <c r="D51" s="36"/>
      <c r="E51" s="36"/>
      <c r="F51" s="36"/>
      <c r="G51" s="48"/>
      <c r="H51" s="36"/>
      <c r="I51" s="53"/>
      <c r="J51" s="53"/>
      <c r="K51" s="53"/>
      <c r="L51" s="53"/>
      <c r="M51" s="53"/>
    </row>
    <row r="52" customFormat="false" ht="15" hidden="false" customHeight="false" outlineLevel="0" collapsed="false">
      <c r="B52" s="53"/>
      <c r="C52" s="53"/>
      <c r="D52" s="36"/>
      <c r="E52" s="36"/>
      <c r="F52" s="36"/>
      <c r="G52" s="48"/>
      <c r="H52" s="36"/>
      <c r="I52" s="53"/>
      <c r="J52" s="53"/>
      <c r="K52" s="53"/>
      <c r="L52" s="53"/>
      <c r="M52" s="53"/>
    </row>
    <row r="53" customFormat="false" ht="15" hidden="false" customHeight="false" outlineLevel="0" collapsed="false">
      <c r="B53" s="53"/>
      <c r="C53" s="53"/>
      <c r="D53" s="36"/>
      <c r="E53" s="36"/>
      <c r="F53" s="36"/>
      <c r="G53" s="48"/>
      <c r="H53" s="36"/>
      <c r="I53" s="53"/>
      <c r="J53" s="53"/>
      <c r="K53" s="53"/>
      <c r="L53" s="53"/>
      <c r="M53" s="53"/>
    </row>
    <row r="54" customFormat="false" ht="15" hidden="false" customHeight="false" outlineLevel="0" collapsed="false">
      <c r="B54" s="53"/>
      <c r="C54" s="53"/>
      <c r="D54" s="36"/>
      <c r="E54" s="36"/>
      <c r="F54" s="36"/>
      <c r="G54" s="48"/>
      <c r="H54" s="36"/>
      <c r="I54" s="53"/>
      <c r="J54" s="53"/>
      <c r="K54" s="53"/>
      <c r="L54" s="53"/>
      <c r="M54" s="53"/>
    </row>
    <row r="55" customFormat="false" ht="15" hidden="false" customHeight="false" outlineLevel="0" collapsed="false">
      <c r="B55" s="25" t="s">
        <v>245</v>
      </c>
    </row>
  </sheetData>
  <mergeCells count="36">
    <mergeCell ref="G4:H4"/>
    <mergeCell ref="K4:L4"/>
    <mergeCell ref="G5:H5"/>
    <mergeCell ref="K5:L5"/>
    <mergeCell ref="G6:H6"/>
    <mergeCell ref="K6:L6"/>
    <mergeCell ref="B40:C40"/>
    <mergeCell ref="I40:M40"/>
    <mergeCell ref="B41:C41"/>
    <mergeCell ref="I41:M41"/>
    <mergeCell ref="B42:C42"/>
    <mergeCell ref="I42:M42"/>
    <mergeCell ref="B43:C43"/>
    <mergeCell ref="I43:M43"/>
    <mergeCell ref="B44:C44"/>
    <mergeCell ref="I44:M44"/>
    <mergeCell ref="B45:C45"/>
    <mergeCell ref="I45:M45"/>
    <mergeCell ref="B46:C46"/>
    <mergeCell ref="I46:M46"/>
    <mergeCell ref="B47:C47"/>
    <mergeCell ref="I47:M47"/>
    <mergeCell ref="B48:C48"/>
    <mergeCell ref="I48:M48"/>
    <mergeCell ref="B49:C49"/>
    <mergeCell ref="I49:M49"/>
    <mergeCell ref="B50:C50"/>
    <mergeCell ref="I50:M50"/>
    <mergeCell ref="B51:C51"/>
    <mergeCell ref="I51:M51"/>
    <mergeCell ref="B52:C52"/>
    <mergeCell ref="I52:M52"/>
    <mergeCell ref="B53:C53"/>
    <mergeCell ref="I53:M53"/>
    <mergeCell ref="B54:C54"/>
    <mergeCell ref="I54:M54"/>
  </mergeCells>
  <conditionalFormatting sqref="K5">
    <cfRule type="expression" priority="2" aboveAverage="0" equalAverage="0" bottom="0" percent="0" rank="0" text="" dxfId="4">
      <formula>N(K5)&gt;0</formula>
    </cfRule>
  </conditionalFormatting>
  <conditionalFormatting sqref="G4">
    <cfRule type="dataBar" priority="3">
      <dataBar showValue="1" minLength="10" maxLength="90">
        <cfvo type="num" val="0"/>
        <cfvo type="num" val="1"/>
        <color rgb="FF8DC640"/>
      </dataBar>
      <extLst>
        <ext xmlns:x14="http://schemas.microsoft.com/office/spreadsheetml/2009/9/main" uri="{B025F937-C7B1-47D3-B67F-A62EFF666E3E}">
          <x14:id>{1E7E91DC-8AB5-4F2D-84E3-9E592DE6B874}</x14:id>
        </ext>
      </extLst>
    </cfRule>
  </conditionalFormatting>
  <conditionalFormatting sqref="O12:AR36">
    <cfRule type="expression" priority="4" aboveAverage="0" equalAverage="0" bottom="0" percent="0" rank="0" text="" dxfId="5">
      <formula>AND(AND($G12&lt;&gt;"",$I12&lt;&gt;"",$G12&lt;=O$11+6,$I12&gt;=O$11),$K12="Done")</formula>
    </cfRule>
    <cfRule type="expression" priority="5" aboveAverage="0" equalAverage="0" bottom="0" percent="0" rank="0" text="" dxfId="6">
      <formula>AND(AND($G12&lt;&gt;"",$I12&lt;&gt;"",$G12&lt;=O$11+6,$I12&gt;=O$11),$M12="Overdue")</formula>
    </cfRule>
    <cfRule type="expression" priority="6" aboveAverage="0" equalAverage="0" bottom="0" percent="0" rank="0" text="" dxfId="7">
      <formula>AND(AND($G12&lt;&gt;"",$I12&lt;&gt;"",$G12&lt;=O$11+6,$I12&gt;=O$11),OR($K12="Waiting on someone",$K12="Blocked"))</formula>
    </cfRule>
    <cfRule type="expression" priority="7" aboveAverage="0" equalAverage="0" bottom="0" percent="0" rank="0" text="" dxfId="8">
      <formula>AND($G12&lt;&gt;"",$I12&lt;&gt;"",$G12&lt;=O$11+6,$I12&gt;=O$11)</formula>
    </cfRule>
    <cfRule type="expression" priority="8" aboveAverage="0" equalAverage="0" bottom="0" percent="0" rank="0" text="" dxfId="3">
      <formula>AND(TODAY()&gt;=O$11,TODAY()&lt;=O$11+6)</formula>
    </cfRule>
  </conditionalFormatting>
  <conditionalFormatting sqref="O11:AR11">
    <cfRule type="expression" priority="9" aboveAverage="0" equalAverage="0" bottom="0" percent="0" rank="0" text="" dxfId="9">
      <formula>AND(TODAY()&gt;=O$11,TODAY()&lt;=O$11+6)</formula>
    </cfRule>
  </conditionalFormatting>
  <conditionalFormatting sqref="K12:K36">
    <cfRule type="expression" priority="10" aboveAverage="0" equalAverage="0" bottom="0" percent="0" rank="0" text="" dxfId="1">
      <formula>$K12="Done"</formula>
    </cfRule>
    <cfRule type="expression" priority="11" aboveAverage="0" equalAverage="0" bottom="0" percent="0" rank="0" text="" dxfId="0">
      <formula>$K12="In progress"</formula>
    </cfRule>
    <cfRule type="expression" priority="12" aboveAverage="0" equalAverage="0" bottom="0" percent="0" rank="0" text="" dxfId="3">
      <formula>$K12="Waiting on someone"</formula>
    </cfRule>
    <cfRule type="expression" priority="13" aboveAverage="0" equalAverage="0" bottom="0" percent="0" rank="0" text="" dxfId="2">
      <formula>$K12="Blocked"</formula>
    </cfRule>
  </conditionalFormatting>
  <conditionalFormatting sqref="M12:M36">
    <cfRule type="expression" priority="14" aboveAverage="0" equalAverage="0" bottom="0" percent="0" rank="0" text="" dxfId="4">
      <formula>M12="Overdue"</formula>
    </cfRule>
    <cfRule type="expression" priority="15" aboveAverage="0" equalAverage="0" bottom="0" percent="0" rank="0" text="" dxfId="3">
      <formula>M12="Check order"</formula>
    </cfRule>
  </conditionalFormatting>
  <dataValidations count="3">
    <dataValidation allowBlank="true" errorStyle="stop" operator="between" showDropDown="false" showErrorMessage="false" showInputMessage="false" sqref="L12:L36" type="decimal">
      <formula1>0</formula1>
      <formula2>1</formula2>
    </dataValidation>
    <dataValidation allowBlank="true" errorStyle="stop" operator="between" showDropDown="false" showErrorMessage="false" showInputMessage="false" sqref="K12:K36" type="list">
      <formula1>"Not started,In progress,Waiting on someone,Blocked,Done"</formula1>
      <formula2>0</formula2>
    </dataValidation>
    <dataValidation allowBlank="true" errorStyle="stop" operator="between" showDropDown="false" showErrorMessage="false" showInputMessage="false" sqref="H41:H54" type="list">
      <formula1>"Not started,In progress,Ready for review,Approved,Live"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1E7E91DC-8AB5-4F2D-84E3-9E592DE6B874}">
            <x14:dataBar minLength="10" maxLength="90" axisPosition="none" gradient="true">
              <x14:cfvo type="num">
                <xm:f>0</xm:f>
              </x14:cfvo>
              <x14:cfvo type="num">
                <xm:f>1</xm:f>
              </x14:cfvo>
              <x14:negativeFillColor rgb="FF8DC640"/>
              <x14:axisColor rgb="FF000000"/>
            </x14:dataBar>
          </x14:cfRule>
          <xm:sqref>G4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AR1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1" topLeftCell="D12" activePane="bottomRight" state="frozen"/>
      <selection pane="topLeft" activeCell="A1" activeCellId="0" sqref="A1"/>
      <selection pane="topRight" activeCell="D1" activeCellId="0" sqref="D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46"/>
    <col collapsed="false" customWidth="true" hidden="false" outlineLevel="0" max="4" min="4" style="0" width="11"/>
    <col collapsed="false" customWidth="true" hidden="false" outlineLevel="0" max="5" min="5" style="0" width="9"/>
    <col collapsed="false" customWidth="true" hidden="false" outlineLevel="0" max="7" min="6" style="0" width="12"/>
    <col collapsed="false" customWidth="true" hidden="false" outlineLevel="0" max="8" min="8" style="0" width="7"/>
    <col collapsed="false" customWidth="true" hidden="false" outlineLevel="0" max="9" min="9" style="0" width="12"/>
    <col collapsed="false" customWidth="true" hidden="false" outlineLevel="0" max="10" min="10" style="0" width="8"/>
    <col collapsed="false" customWidth="true" hidden="false" outlineLevel="0" max="11" min="11" style="0" width="15"/>
    <col collapsed="false" customWidth="true" hidden="false" outlineLevel="0" max="12" min="12" style="0" width="8"/>
    <col collapsed="false" customWidth="true" hidden="false" outlineLevel="0" max="13" min="13" style="0" width="12"/>
    <col collapsed="false" customWidth="true" hidden="false" outlineLevel="0" max="14" min="14" style="0" width="30"/>
    <col collapsed="false" customWidth="true" hidden="false" outlineLevel="0" max="44" min="15" style="0" width="4.6"/>
  </cols>
  <sheetData>
    <row r="1" customFormat="false" ht="22.05" hidden="false" customHeight="false" outlineLevel="0" collapsed="false">
      <c r="A1" s="29" t="s">
        <v>40</v>
      </c>
    </row>
    <row r="2" customFormat="false" ht="15" hidden="false" customHeight="false" outlineLevel="0" collapsed="false">
      <c r="A2" s="30" t="s">
        <v>246</v>
      </c>
    </row>
    <row r="4" customFormat="false" ht="15" hidden="false" customHeight="false" outlineLevel="0" collapsed="false">
      <c r="B4" s="17" t="s">
        <v>53</v>
      </c>
      <c r="C4" s="36" t="s">
        <v>247</v>
      </c>
      <c r="F4" s="37" t="s">
        <v>32</v>
      </c>
      <c r="G4" s="38" t="n">
        <f aca="false">IF(SUM($H$12:$H$47)=0,"",SUMPRODUCT($H$12:$H$47,($K$12:$K$47="Done")+($K$12:$K$47&lt;&gt;"Done")*$L$12:$L$47)/SUM($H$12:$H$47))</f>
        <v>0.0876288659793814</v>
      </c>
      <c r="H4" s="38"/>
      <c r="J4" s="37" t="s">
        <v>104</v>
      </c>
      <c r="K4" s="39" t="str">
        <f aca="false">COUNTIF($K$12:$K$47,"Done")&amp;" of "&amp;COUNTA($C$12:$C$47)</f>
        <v>5 of 24</v>
      </c>
      <c r="L4" s="39"/>
    </row>
    <row r="5" customFormat="false" ht="15" hidden="false" customHeight="false" outlineLevel="0" collapsed="false">
      <c r="B5" s="17" t="s">
        <v>105</v>
      </c>
      <c r="C5" s="36" t="s">
        <v>56</v>
      </c>
      <c r="F5" s="37" t="s">
        <v>30</v>
      </c>
      <c r="G5" s="40" t="n">
        <f aca="false">IF(COUNT($G$12:$G$47)=0,"",MIN($G$12:$G$47))</f>
        <v>46279</v>
      </c>
      <c r="H5" s="40"/>
      <c r="J5" s="37" t="s">
        <v>106</v>
      </c>
      <c r="K5" s="41" t="n">
        <f aca="false">COUNTIF($M$12:$M$47,"Overdue")</f>
        <v>0</v>
      </c>
      <c r="L5" s="41"/>
    </row>
    <row r="6" customFormat="false" ht="15" hidden="false" customHeight="false" outlineLevel="0" collapsed="false">
      <c r="B6" s="17" t="s">
        <v>248</v>
      </c>
      <c r="C6" s="42" t="n">
        <f aca="true">TODAY()+120</f>
        <v>46429</v>
      </c>
      <c r="F6" s="37" t="s">
        <v>31</v>
      </c>
      <c r="G6" s="40" t="n">
        <f aca="false">IF(COUNT($I$12:$I$47)=0,"",MAX($I$12:$I$47))</f>
        <v>46454</v>
      </c>
      <c r="H6" s="40"/>
      <c r="J6" s="37" t="s">
        <v>36</v>
      </c>
      <c r="K6" s="40" t="n">
        <f aca="true">IFERROR(_xlfn.MINIFS($I$12:$I$47,$K$12:$K$47,"&lt;&gt;Done",$I$12:$I$47,"&gt;="&amp;TODAY()),"")</f>
        <v>46323</v>
      </c>
      <c r="L6" s="40"/>
    </row>
    <row r="7" customFormat="false" ht="15" hidden="false" customHeight="false" outlineLevel="0" collapsed="false">
      <c r="B7" s="17" t="s">
        <v>59</v>
      </c>
      <c r="C7" s="43" t="n">
        <v>9500</v>
      </c>
    </row>
    <row r="8" customFormat="false" ht="15" hidden="false" customHeight="false" outlineLevel="0" collapsed="false">
      <c r="B8" s="17" t="s">
        <v>108</v>
      </c>
      <c r="C8" s="36" t="s">
        <v>249</v>
      </c>
    </row>
    <row r="9" customFormat="false" ht="15" hidden="false" customHeight="false" outlineLevel="0" collapsed="false">
      <c r="B9" s="25" t="s">
        <v>110</v>
      </c>
    </row>
    <row r="10" customFormat="false" ht="15" hidden="false" customHeight="false" outlineLevel="0" collapsed="false">
      <c r="C10" s="25" t="s">
        <v>250</v>
      </c>
      <c r="O10" s="44" t="str">
        <f aca="false">TEXT(O11,"mmm")</f>
        <v>Sep</v>
      </c>
      <c r="P10" s="44" t="str">
        <f aca="false">IF(MONTH(P11)&lt;&gt;MONTH(O11),TEXT(P11,"mmm"),"")</f>
        <v/>
      </c>
      <c r="Q10" s="44" t="str">
        <f aca="false">IF(MONTH(Q11)&lt;&gt;MONTH(P11),TEXT(Q11,"mmm"),"")</f>
        <v/>
      </c>
      <c r="R10" s="44" t="str">
        <f aca="false">IF(MONTH(R11)&lt;&gt;MONTH(Q11),TEXT(R11,"mmm"),"")</f>
        <v>Oct</v>
      </c>
      <c r="S10" s="44" t="str">
        <f aca="false">IF(MONTH(S11)&lt;&gt;MONTH(R11),TEXT(S11,"mmm"),"")</f>
        <v/>
      </c>
      <c r="T10" s="44" t="str">
        <f aca="false">IF(MONTH(T11)&lt;&gt;MONTH(S11),TEXT(T11,"mmm"),"")</f>
        <v/>
      </c>
      <c r="U10" s="44" t="str">
        <f aca="false">IF(MONTH(U11)&lt;&gt;MONTH(T11),TEXT(U11,"mmm"),"")</f>
        <v/>
      </c>
      <c r="V10" s="44" t="str">
        <f aca="false">IF(MONTH(V11)&lt;&gt;MONTH(U11),TEXT(V11,"mmm"),"")</f>
        <v>Nov</v>
      </c>
      <c r="W10" s="44" t="str">
        <f aca="false">IF(MONTH(W11)&lt;&gt;MONTH(V11),TEXT(W11,"mmm"),"")</f>
        <v/>
      </c>
      <c r="X10" s="44" t="str">
        <f aca="false">IF(MONTH(X11)&lt;&gt;MONTH(W11),TEXT(X11,"mmm"),"")</f>
        <v/>
      </c>
      <c r="Y10" s="44" t="str">
        <f aca="false">IF(MONTH(Y11)&lt;&gt;MONTH(X11),TEXT(Y11,"mmm"),"")</f>
        <v/>
      </c>
      <c r="Z10" s="44" t="str">
        <f aca="false">IF(MONTH(Z11)&lt;&gt;MONTH(Y11),TEXT(Z11,"mmm"),"")</f>
        <v/>
      </c>
      <c r="AA10" s="44" t="str">
        <f aca="false">IF(MONTH(AA11)&lt;&gt;MONTH(Z11),TEXT(AA11,"mmm"),"")</f>
        <v>Dec</v>
      </c>
      <c r="AB10" s="44" t="str">
        <f aca="false">IF(MONTH(AB11)&lt;&gt;MONTH(AA11),TEXT(AB11,"mmm"),"")</f>
        <v/>
      </c>
      <c r="AC10" s="44" t="str">
        <f aca="false">IF(MONTH(AC11)&lt;&gt;MONTH(AB11),TEXT(AC11,"mmm"),"")</f>
        <v/>
      </c>
      <c r="AD10" s="44" t="str">
        <f aca="false">IF(MONTH(AD11)&lt;&gt;MONTH(AC11),TEXT(AD11,"mmm"),"")</f>
        <v/>
      </c>
      <c r="AE10" s="44" t="str">
        <f aca="false">IF(MONTH(AE11)&lt;&gt;MONTH(AD11),TEXT(AE11,"mmm"),"")</f>
        <v>Jan</v>
      </c>
      <c r="AF10" s="44" t="str">
        <f aca="false">IF(MONTH(AF11)&lt;&gt;MONTH(AE11),TEXT(AF11,"mmm"),"")</f>
        <v/>
      </c>
      <c r="AG10" s="44" t="str">
        <f aca="false">IF(MONTH(AG11)&lt;&gt;MONTH(AF11),TEXT(AG11,"mmm"),"")</f>
        <v/>
      </c>
      <c r="AH10" s="44" t="str">
        <f aca="false">IF(MONTH(AH11)&lt;&gt;MONTH(AG11),TEXT(AH11,"mmm"),"")</f>
        <v/>
      </c>
      <c r="AI10" s="44" t="str">
        <f aca="false">IF(MONTH(AI11)&lt;&gt;MONTH(AH11),TEXT(AI11,"mmm"),"")</f>
        <v>Feb</v>
      </c>
      <c r="AJ10" s="44" t="str">
        <f aca="false">IF(MONTH(AJ11)&lt;&gt;MONTH(AI11),TEXT(AJ11,"mmm"),"")</f>
        <v/>
      </c>
      <c r="AK10" s="44" t="str">
        <f aca="false">IF(MONTH(AK11)&lt;&gt;MONTH(AJ11),TEXT(AK11,"mmm"),"")</f>
        <v/>
      </c>
      <c r="AL10" s="44" t="str">
        <f aca="false">IF(MONTH(AL11)&lt;&gt;MONTH(AK11),TEXT(AL11,"mmm"),"")</f>
        <v/>
      </c>
      <c r="AM10" s="44" t="str">
        <f aca="false">IF(MONTH(AM11)&lt;&gt;MONTH(AL11),TEXT(AM11,"mmm"),"")</f>
        <v>Mar</v>
      </c>
      <c r="AN10" s="44" t="str">
        <f aca="false">IF(MONTH(AN11)&lt;&gt;MONTH(AM11),TEXT(AN11,"mmm"),"")</f>
        <v/>
      </c>
      <c r="AO10" s="44" t="str">
        <f aca="false">IF(MONTH(AO11)&lt;&gt;MONTH(AN11),TEXT(AO11,"mmm"),"")</f>
        <v/>
      </c>
      <c r="AP10" s="44" t="str">
        <f aca="false">IF(MONTH(AP11)&lt;&gt;MONTH(AO11),TEXT(AP11,"mmm"),"")</f>
        <v/>
      </c>
      <c r="AQ10" s="44" t="str">
        <f aca="false">IF(MONTH(AQ11)&lt;&gt;MONTH(AP11),TEXT(AQ11,"mmm"),"")</f>
        <v/>
      </c>
      <c r="AR10" s="44" t="str">
        <f aca="false">IF(MONTH(AR11)&lt;&gt;MONTH(AQ11),TEXT(AR11,"mmm"),"")</f>
        <v>Apr</v>
      </c>
    </row>
    <row r="11" customFormat="false" ht="42" hidden="false" customHeight="true" outlineLevel="0" collapsed="false">
      <c r="A11" s="18" t="s">
        <v>112</v>
      </c>
      <c r="B11" s="18" t="s">
        <v>113</v>
      </c>
      <c r="C11" s="18" t="s">
        <v>114</v>
      </c>
      <c r="D11" s="18" t="s">
        <v>56</v>
      </c>
      <c r="E11" s="18" t="s">
        <v>115</v>
      </c>
      <c r="F11" s="18" t="s">
        <v>116</v>
      </c>
      <c r="G11" s="18" t="s">
        <v>117</v>
      </c>
      <c r="H11" s="18" t="s">
        <v>118</v>
      </c>
      <c r="I11" s="18" t="s">
        <v>119</v>
      </c>
      <c r="J11" s="18" t="s">
        <v>120</v>
      </c>
      <c r="K11" s="18" t="s">
        <v>121</v>
      </c>
      <c r="L11" s="18" t="s">
        <v>122</v>
      </c>
      <c r="M11" s="18" t="s">
        <v>123</v>
      </c>
      <c r="N11" s="18" t="s">
        <v>124</v>
      </c>
      <c r="O11" s="45" t="n">
        <f aca="false">(MIN($G$12:$G$47)-WEEKDAY(MIN($G$12:$G$47),3))+0</f>
        <v>46279</v>
      </c>
      <c r="P11" s="45" t="n">
        <f aca="false">O11+7</f>
        <v>46286</v>
      </c>
      <c r="Q11" s="45" t="n">
        <f aca="false">P11+7</f>
        <v>46293</v>
      </c>
      <c r="R11" s="45" t="n">
        <f aca="false">Q11+7</f>
        <v>46300</v>
      </c>
      <c r="S11" s="45" t="n">
        <f aca="false">R11+7</f>
        <v>46307</v>
      </c>
      <c r="T11" s="45" t="n">
        <f aca="false">S11+7</f>
        <v>46314</v>
      </c>
      <c r="U11" s="45" t="n">
        <f aca="false">T11+7</f>
        <v>46321</v>
      </c>
      <c r="V11" s="45" t="n">
        <f aca="false">U11+7</f>
        <v>46328</v>
      </c>
      <c r="W11" s="45" t="n">
        <f aca="false">V11+7</f>
        <v>46335</v>
      </c>
      <c r="X11" s="45" t="n">
        <f aca="false">W11+7</f>
        <v>46342</v>
      </c>
      <c r="Y11" s="45" t="n">
        <f aca="false">X11+7</f>
        <v>46349</v>
      </c>
      <c r="Z11" s="45" t="n">
        <f aca="false">Y11+7</f>
        <v>46356</v>
      </c>
      <c r="AA11" s="45" t="n">
        <f aca="false">Z11+7</f>
        <v>46363</v>
      </c>
      <c r="AB11" s="45" t="n">
        <f aca="false">AA11+7</f>
        <v>46370</v>
      </c>
      <c r="AC11" s="45" t="n">
        <f aca="false">AB11+7</f>
        <v>46377</v>
      </c>
      <c r="AD11" s="45" t="n">
        <f aca="false">AC11+7</f>
        <v>46384</v>
      </c>
      <c r="AE11" s="45" t="n">
        <f aca="false">AD11+7</f>
        <v>46391</v>
      </c>
      <c r="AF11" s="45" t="n">
        <f aca="false">AE11+7</f>
        <v>46398</v>
      </c>
      <c r="AG11" s="45" t="n">
        <f aca="false">AF11+7</f>
        <v>46405</v>
      </c>
      <c r="AH11" s="45" t="n">
        <f aca="false">AG11+7</f>
        <v>46412</v>
      </c>
      <c r="AI11" s="45" t="n">
        <f aca="false">AH11+7</f>
        <v>46419</v>
      </c>
      <c r="AJ11" s="45" t="n">
        <f aca="false">AI11+7</f>
        <v>46426</v>
      </c>
      <c r="AK11" s="45" t="n">
        <f aca="false">AJ11+7</f>
        <v>46433</v>
      </c>
      <c r="AL11" s="45" t="n">
        <f aca="false">AK11+7</f>
        <v>46440</v>
      </c>
      <c r="AM11" s="45" t="n">
        <f aca="false">AL11+7</f>
        <v>46447</v>
      </c>
      <c r="AN11" s="45" t="n">
        <f aca="false">AM11+7</f>
        <v>46454</v>
      </c>
      <c r="AO11" s="45" t="n">
        <f aca="false">AN11+7</f>
        <v>46461</v>
      </c>
      <c r="AP11" s="45" t="n">
        <f aca="false">AO11+7</f>
        <v>46468</v>
      </c>
      <c r="AQ11" s="45" t="n">
        <f aca="false">AP11+7</f>
        <v>46475</v>
      </c>
      <c r="AR11" s="45" t="n">
        <f aca="false">AQ11+7</f>
        <v>46482</v>
      </c>
    </row>
    <row r="12" customFormat="false" ht="27.75" hidden="false" customHeight="true" outlineLevel="0" collapsed="false">
      <c r="A12" s="46" t="n">
        <f aca="false">IF(C12="","",ROW()-11)</f>
        <v>1</v>
      </c>
      <c r="B12" s="36" t="s">
        <v>251</v>
      </c>
      <c r="C12" s="35" t="s">
        <v>252</v>
      </c>
      <c r="D12" s="36" t="s">
        <v>56</v>
      </c>
      <c r="E12" s="47" t="n">
        <v>-150</v>
      </c>
      <c r="F12" s="48"/>
      <c r="G12" s="49" t="n">
        <f aca="false">IF(C12="","",IF(F12&lt;&gt;"",F12,IF(E12="","",$C$6+E12)))</f>
        <v>46279</v>
      </c>
      <c r="H12" s="47" t="n">
        <v>7</v>
      </c>
      <c r="I12" s="49" t="n">
        <f aca="false">IF(OR(G12="",H12=""),"",G12+MAX(H12,1)-1)</f>
        <v>46285</v>
      </c>
      <c r="J12" s="47"/>
      <c r="K12" s="36" t="s">
        <v>34</v>
      </c>
      <c r="L12" s="50" t="n">
        <v>1</v>
      </c>
      <c r="M12" s="51" t="str">
        <f aca="true">IF(OR(C12="",I12=""),"",IF(AND(K12&lt;&gt;"Done",I12&lt;TODAY()),"Overdue",IF(AND(J12&lt;&gt;"",IFERROR(G12&lt;INDEX($I$12:$I$47,MATCH(J12,$A$12:$A$47,0)),FALSE())),"Check order","")))</f>
        <v/>
      </c>
      <c r="N12" s="35"/>
    </row>
    <row r="13" customFormat="false" ht="27.75" hidden="false" customHeight="true" outlineLevel="0" collapsed="false">
      <c r="A13" s="46" t="n">
        <f aca="false">IF(C13="","",ROW()-11)</f>
        <v>2</v>
      </c>
      <c r="B13" s="36" t="s">
        <v>251</v>
      </c>
      <c r="C13" s="35" t="s">
        <v>253</v>
      </c>
      <c r="D13" s="36" t="s">
        <v>56</v>
      </c>
      <c r="E13" s="47" t="n">
        <v>-145</v>
      </c>
      <c r="F13" s="48"/>
      <c r="G13" s="49" t="n">
        <f aca="false">IF(C13="","",IF(F13&lt;&gt;"",F13,IF(E13="","",$C$6+E13)))</f>
        <v>46284</v>
      </c>
      <c r="H13" s="47" t="n">
        <v>2</v>
      </c>
      <c r="I13" s="49" t="n">
        <f aca="false">IF(OR(G13="",H13=""),"",G13+MAX(H13,1)-1)</f>
        <v>46285</v>
      </c>
      <c r="J13" s="47"/>
      <c r="K13" s="36" t="s">
        <v>34</v>
      </c>
      <c r="L13" s="50" t="n">
        <v>1</v>
      </c>
      <c r="M13" s="51" t="str">
        <f aca="true">IF(OR(C13="",I13=""),"",IF(AND(K13&lt;&gt;"Done",I13&lt;TODAY()),"Overdue",IF(AND(J13&lt;&gt;"",IFERROR(G13&lt;INDEX($I$12:$I$47,MATCH(J13,$A$12:$A$47,0)),FALSE())),"Check order","")))</f>
        <v/>
      </c>
      <c r="N13" s="35"/>
    </row>
    <row r="14" customFormat="false" ht="27.75" hidden="false" customHeight="true" outlineLevel="0" collapsed="false">
      <c r="A14" s="46" t="n">
        <f aca="false">IF(C14="","",ROW()-11)</f>
        <v>3</v>
      </c>
      <c r="B14" s="36" t="s">
        <v>251</v>
      </c>
      <c r="C14" s="35" t="s">
        <v>254</v>
      </c>
      <c r="D14" s="36" t="s">
        <v>56</v>
      </c>
      <c r="E14" s="47" t="n">
        <v>-140</v>
      </c>
      <c r="F14" s="48"/>
      <c r="G14" s="49" t="n">
        <f aca="false">IF(C14="","",IF(F14&lt;&gt;"",F14,IF(E14="","",$C$6+E14)))</f>
        <v>46289</v>
      </c>
      <c r="H14" s="47" t="n">
        <v>3</v>
      </c>
      <c r="I14" s="49" t="n">
        <f aca="false">IF(OR(G14="",H14=""),"",G14+MAX(H14,1)-1)</f>
        <v>46291</v>
      </c>
      <c r="J14" s="47" t="n">
        <v>2</v>
      </c>
      <c r="K14" s="36" t="s">
        <v>34</v>
      </c>
      <c r="L14" s="50" t="n">
        <v>1</v>
      </c>
      <c r="M14" s="51" t="str">
        <f aca="true">IF(OR(C14="",I14=""),"",IF(AND(K14&lt;&gt;"Done",I14&lt;TODAY()),"Overdue",IF(AND(J14&lt;&gt;"",IFERROR(G14&lt;INDEX($I$12:$I$47,MATCH(J14,$A$12:$A$47,0)),FALSE())),"Check order","")))</f>
        <v/>
      </c>
      <c r="N14" s="35"/>
    </row>
    <row r="15" customFormat="false" ht="27.75" hidden="false" customHeight="true" outlineLevel="0" collapsed="false">
      <c r="A15" s="46" t="n">
        <f aca="false">IF(C15="","",ROW()-11)</f>
        <v>4</v>
      </c>
      <c r="B15" s="36" t="s">
        <v>251</v>
      </c>
      <c r="C15" s="35" t="s">
        <v>255</v>
      </c>
      <c r="D15" s="36" t="s">
        <v>56</v>
      </c>
      <c r="E15" s="47" t="n">
        <v>-138</v>
      </c>
      <c r="F15" s="48"/>
      <c r="G15" s="49" t="n">
        <f aca="false">IF(C15="","",IF(F15&lt;&gt;"",F15,IF(E15="","",$C$6+E15)))</f>
        <v>46291</v>
      </c>
      <c r="H15" s="47" t="n">
        <v>3</v>
      </c>
      <c r="I15" s="49" t="n">
        <f aca="false">IF(OR(G15="",H15=""),"",G15+MAX(H15,1)-1)</f>
        <v>46293</v>
      </c>
      <c r="J15" s="47" t="n">
        <v>3</v>
      </c>
      <c r="K15" s="36" t="s">
        <v>34</v>
      </c>
      <c r="L15" s="50" t="n">
        <v>1</v>
      </c>
      <c r="M15" s="51" t="str">
        <f aca="true">IF(OR(C15="",I15=""),"",IF(AND(K15&lt;&gt;"Done",I15&lt;TODAY()),"Overdue",IF(AND(J15&lt;&gt;"",IFERROR(G15&lt;INDEX($I$12:$I$47,MATCH(J15,$A$12:$A$47,0)),FALSE())),"Check order","")))</f>
        <v/>
      </c>
      <c r="N15" s="35"/>
    </row>
    <row r="16" customFormat="false" ht="27.75" hidden="false" customHeight="true" outlineLevel="0" collapsed="false">
      <c r="A16" s="46" t="n">
        <f aca="false">IF(C16="","",ROW()-11)</f>
        <v>5</v>
      </c>
      <c r="B16" s="36" t="s">
        <v>251</v>
      </c>
      <c r="C16" s="35" t="s">
        <v>256</v>
      </c>
      <c r="D16" s="36" t="s">
        <v>202</v>
      </c>
      <c r="E16" s="47" t="n">
        <v>-130</v>
      </c>
      <c r="F16" s="48"/>
      <c r="G16" s="49" t="n">
        <f aca="false">IF(C16="","",IF(F16&lt;&gt;"",F16,IF(E16="","",$C$6+E16)))</f>
        <v>46299</v>
      </c>
      <c r="H16" s="47" t="n">
        <v>2</v>
      </c>
      <c r="I16" s="49" t="n">
        <f aca="false">IF(OR(G16="",H16=""),"",G16+MAX(H16,1)-1)</f>
        <v>46300</v>
      </c>
      <c r="J16" s="47" t="n">
        <v>3</v>
      </c>
      <c r="K16" s="36" t="s">
        <v>34</v>
      </c>
      <c r="L16" s="50" t="n">
        <v>1</v>
      </c>
      <c r="M16" s="51" t="str">
        <f aca="true">IF(OR(C16="",I16=""),"",IF(AND(K16&lt;&gt;"Done",I16&lt;TODAY()),"Overdue",IF(AND(J16&lt;&gt;"",IFERROR(G16&lt;INDEX($I$12:$I$47,MATCH(J16,$A$12:$A$47,0)),FALSE())),"Check order","")))</f>
        <v/>
      </c>
      <c r="N16" s="35"/>
    </row>
    <row r="17" customFormat="false" ht="27.75" hidden="false" customHeight="true" outlineLevel="0" collapsed="false">
      <c r="A17" s="46" t="n">
        <f aca="false">IF(C17="","",ROW()-11)</f>
        <v>6</v>
      </c>
      <c r="B17" s="36" t="s">
        <v>257</v>
      </c>
      <c r="C17" s="35" t="s">
        <v>258</v>
      </c>
      <c r="D17" s="36" t="s">
        <v>132</v>
      </c>
      <c r="E17" s="47" t="n">
        <v>-112</v>
      </c>
      <c r="F17" s="48"/>
      <c r="G17" s="49" t="n">
        <f aca="false">IF(C17="","",IF(F17&lt;&gt;"",F17,IF(E17="","",$C$6+E17)))</f>
        <v>46317</v>
      </c>
      <c r="H17" s="47" t="n">
        <v>7</v>
      </c>
      <c r="I17" s="49" t="n">
        <f aca="false">IF(OR(G17="",H17=""),"",G17+MAX(H17,1)-1)</f>
        <v>46323</v>
      </c>
      <c r="J17" s="47" t="n">
        <v>3</v>
      </c>
      <c r="K17" s="36" t="s">
        <v>144</v>
      </c>
      <c r="L17" s="50"/>
      <c r="M17" s="51" t="str">
        <f aca="true">IF(OR(C17="",I17=""),"",IF(AND(K17&lt;&gt;"Done",I17&lt;TODAY()),"Overdue",IF(AND(J17&lt;&gt;"",IFERROR(G17&lt;INDEX($I$12:$I$47,MATCH(J17,$A$12:$A$47,0)),FALSE())),"Check order","")))</f>
        <v/>
      </c>
      <c r="N17" s="35"/>
    </row>
    <row r="18" customFormat="false" ht="27.75" hidden="false" customHeight="true" outlineLevel="0" collapsed="false">
      <c r="A18" s="46" t="n">
        <f aca="false">IF(C18="","",ROW()-11)</f>
        <v>7</v>
      </c>
      <c r="B18" s="36" t="s">
        <v>257</v>
      </c>
      <c r="C18" s="35" t="s">
        <v>259</v>
      </c>
      <c r="D18" s="36" t="s">
        <v>56</v>
      </c>
      <c r="E18" s="47" t="n">
        <v>-105</v>
      </c>
      <c r="F18" s="48"/>
      <c r="G18" s="49" t="n">
        <f aca="false">IF(C18="","",IF(F18&lt;&gt;"",F18,IF(E18="","",$C$6+E18)))</f>
        <v>46324</v>
      </c>
      <c r="H18" s="47" t="n">
        <v>10</v>
      </c>
      <c r="I18" s="49" t="n">
        <f aca="false">IF(OR(G18="",H18=""),"",G18+MAX(H18,1)-1)</f>
        <v>46333</v>
      </c>
      <c r="J18" s="47" t="n">
        <v>6</v>
      </c>
      <c r="K18" s="36" t="s">
        <v>144</v>
      </c>
      <c r="L18" s="50"/>
      <c r="M18" s="51" t="str">
        <f aca="true">IF(OR(C18="",I18=""),"",IF(AND(K18&lt;&gt;"Done",I18&lt;TODAY()),"Overdue",IF(AND(J18&lt;&gt;"",IFERROR(G18&lt;INDEX($I$12:$I$47,MATCH(J18,$A$12:$A$47,0)),FALSE())),"Check order","")))</f>
        <v/>
      </c>
      <c r="N18" s="35"/>
    </row>
    <row r="19" customFormat="false" ht="27.75" hidden="false" customHeight="true" outlineLevel="0" collapsed="false">
      <c r="A19" s="46" t="n">
        <f aca="false">IF(C19="","",ROW()-11)</f>
        <v>8</v>
      </c>
      <c r="B19" s="36" t="s">
        <v>257</v>
      </c>
      <c r="C19" s="35" t="s">
        <v>260</v>
      </c>
      <c r="D19" s="36" t="s">
        <v>132</v>
      </c>
      <c r="E19" s="47" t="n">
        <v>-100</v>
      </c>
      <c r="F19" s="48"/>
      <c r="G19" s="49" t="n">
        <f aca="false">IF(C19="","",IF(F19&lt;&gt;"",F19,IF(E19="","",$C$6+E19)))</f>
        <v>46329</v>
      </c>
      <c r="H19" s="47" t="n">
        <v>5</v>
      </c>
      <c r="I19" s="49" t="n">
        <f aca="false">IF(OR(G19="",H19=""),"",G19+MAX(H19,1)-1)</f>
        <v>46333</v>
      </c>
      <c r="J19" s="47" t="n">
        <v>6</v>
      </c>
      <c r="K19" s="36" t="s">
        <v>144</v>
      </c>
      <c r="L19" s="50"/>
      <c r="M19" s="51" t="str">
        <f aca="true">IF(OR(C19="",I19=""),"",IF(AND(K19&lt;&gt;"Done",I19&lt;TODAY()),"Overdue",IF(AND(J19&lt;&gt;"",IFERROR(G19&lt;INDEX($I$12:$I$47,MATCH(J19,$A$12:$A$47,0)),FALSE())),"Check order","")))</f>
        <v/>
      </c>
      <c r="N19" s="35"/>
    </row>
    <row r="20" customFormat="false" ht="27.75" hidden="false" customHeight="true" outlineLevel="0" collapsed="false">
      <c r="A20" s="46" t="n">
        <f aca="false">IF(C20="","",ROW()-11)</f>
        <v>9</v>
      </c>
      <c r="B20" s="36" t="s">
        <v>257</v>
      </c>
      <c r="C20" s="35" t="s">
        <v>261</v>
      </c>
      <c r="D20" s="36" t="s">
        <v>202</v>
      </c>
      <c r="E20" s="47" t="n">
        <v>-90</v>
      </c>
      <c r="F20" s="48"/>
      <c r="G20" s="49" t="n">
        <f aca="false">IF(C20="","",IF(F20&lt;&gt;"",F20,IF(E20="","",$C$6+E20)))</f>
        <v>46339</v>
      </c>
      <c r="H20" s="47" t="n">
        <v>5</v>
      </c>
      <c r="I20" s="49" t="n">
        <f aca="false">IF(OR(G20="",H20=""),"",G20+MAX(H20,1)-1)</f>
        <v>46343</v>
      </c>
      <c r="J20" s="47"/>
      <c r="K20" s="36" t="s">
        <v>144</v>
      </c>
      <c r="L20" s="50"/>
      <c r="M20" s="51" t="str">
        <f aca="true">IF(OR(C20="",I20=""),"",IF(AND(K20&lt;&gt;"Done",I20&lt;TODAY()),"Overdue",IF(AND(J20&lt;&gt;"",IFERROR(G20&lt;INDEX($I$12:$I$47,MATCH(J20,$A$12:$A$47,0)),FALSE())),"Check order","")))</f>
        <v/>
      </c>
      <c r="N20" s="35"/>
    </row>
    <row r="21" customFormat="false" ht="27.75" hidden="false" customHeight="true" outlineLevel="0" collapsed="false">
      <c r="A21" s="46" t="n">
        <f aca="false">IF(C21="","",ROW()-11)</f>
        <v>10</v>
      </c>
      <c r="B21" s="36" t="s">
        <v>262</v>
      </c>
      <c r="C21" s="35" t="s">
        <v>263</v>
      </c>
      <c r="D21" s="36" t="s">
        <v>132</v>
      </c>
      <c r="E21" s="47" t="n">
        <v>-60</v>
      </c>
      <c r="F21" s="48"/>
      <c r="G21" s="49" t="n">
        <f aca="false">IF(C21="","",IF(F21&lt;&gt;"",F21,IF(E21="","",$C$6+E21)))</f>
        <v>46369</v>
      </c>
      <c r="H21" s="47" t="n">
        <v>5</v>
      </c>
      <c r="I21" s="49" t="n">
        <f aca="false">IF(OR(G21="",H21=""),"",G21+MAX(H21,1)-1)</f>
        <v>46373</v>
      </c>
      <c r="J21" s="47" t="n">
        <v>7</v>
      </c>
      <c r="K21" s="36" t="s">
        <v>144</v>
      </c>
      <c r="L21" s="50"/>
      <c r="M21" s="51" t="str">
        <f aca="true">IF(OR(C21="",I21=""),"",IF(AND(K21&lt;&gt;"Done",I21&lt;TODAY()),"Overdue",IF(AND(J21&lt;&gt;"",IFERROR(G21&lt;INDEX($I$12:$I$47,MATCH(J21,$A$12:$A$47,0)),FALSE())),"Check order","")))</f>
        <v/>
      </c>
      <c r="N21" s="35"/>
    </row>
    <row r="22" customFormat="false" ht="27.75" hidden="false" customHeight="true" outlineLevel="0" collapsed="false">
      <c r="A22" s="46" t="n">
        <f aca="false">IF(C22="","",ROW()-11)</f>
        <v>11</v>
      </c>
      <c r="B22" s="36" t="s">
        <v>262</v>
      </c>
      <c r="C22" s="35" t="s">
        <v>264</v>
      </c>
      <c r="D22" s="36" t="s">
        <v>202</v>
      </c>
      <c r="E22" s="47" t="n">
        <v>-56</v>
      </c>
      <c r="F22" s="48"/>
      <c r="G22" s="49" t="n">
        <f aca="false">IF(C22="","",IF(F22&lt;&gt;"",F22,IF(E22="","",$C$6+E22)))</f>
        <v>46373</v>
      </c>
      <c r="H22" s="47" t="n">
        <v>28</v>
      </c>
      <c r="I22" s="49" t="n">
        <f aca="false">IF(OR(G22="",H22=""),"",G22+MAX(H22,1)-1)</f>
        <v>46400</v>
      </c>
      <c r="J22" s="47" t="n">
        <v>9</v>
      </c>
      <c r="K22" s="36" t="s">
        <v>144</v>
      </c>
      <c r="L22" s="50"/>
      <c r="M22" s="51" t="str">
        <f aca="true">IF(OR(C22="",I22=""),"",IF(AND(K22&lt;&gt;"Done",I22&lt;TODAY()),"Overdue",IF(AND(J22&lt;&gt;"",IFERROR(G22&lt;INDEX($I$12:$I$47,MATCH(J22,$A$12:$A$47,0)),FALSE())),"Check order","")))</f>
        <v/>
      </c>
      <c r="N22" s="35"/>
    </row>
    <row r="23" customFormat="false" ht="27.75" hidden="false" customHeight="true" outlineLevel="0" collapsed="false">
      <c r="A23" s="46" t="n">
        <f aca="false">IF(C23="","",ROW()-11)</f>
        <v>12</v>
      </c>
      <c r="B23" s="36" t="s">
        <v>262</v>
      </c>
      <c r="C23" s="35" t="s">
        <v>265</v>
      </c>
      <c r="D23" s="36" t="s">
        <v>202</v>
      </c>
      <c r="E23" s="47" t="n">
        <v>-42</v>
      </c>
      <c r="F23" s="48"/>
      <c r="G23" s="49" t="n">
        <f aca="false">IF(C23="","",IF(F23&lt;&gt;"",F23,IF(E23="","",$C$6+E23)))</f>
        <v>46387</v>
      </c>
      <c r="H23" s="47" t="n">
        <v>35</v>
      </c>
      <c r="I23" s="49" t="n">
        <f aca="false">IF(OR(G23="",H23=""),"",G23+MAX(H23,1)-1)</f>
        <v>46421</v>
      </c>
      <c r="J23" s="47"/>
      <c r="K23" s="36" t="s">
        <v>144</v>
      </c>
      <c r="L23" s="50"/>
      <c r="M23" s="51" t="str">
        <f aca="true">IF(OR(C23="",I23=""),"",IF(AND(K23&lt;&gt;"Done",I23&lt;TODAY()),"Overdue",IF(AND(J23&lt;&gt;"",IFERROR(G23&lt;INDEX($I$12:$I$47,MATCH(J23,$A$12:$A$47,0)),FALSE())),"Check order","")))</f>
        <v/>
      </c>
      <c r="N23" s="35"/>
    </row>
    <row r="24" customFormat="false" ht="27.75" hidden="false" customHeight="true" outlineLevel="0" collapsed="false">
      <c r="A24" s="46" t="n">
        <f aca="false">IF(C24="","",ROW()-11)</f>
        <v>13</v>
      </c>
      <c r="B24" s="36" t="s">
        <v>266</v>
      </c>
      <c r="C24" s="35" t="s">
        <v>267</v>
      </c>
      <c r="D24" s="36" t="s">
        <v>132</v>
      </c>
      <c r="E24" s="47" t="n">
        <v>-35</v>
      </c>
      <c r="F24" s="48"/>
      <c r="G24" s="49" t="n">
        <f aca="false">IF(C24="","",IF(F24&lt;&gt;"",F24,IF(E24="","",$C$6+E24)))</f>
        <v>46394</v>
      </c>
      <c r="H24" s="47" t="n">
        <v>7</v>
      </c>
      <c r="I24" s="49" t="n">
        <f aca="false">IF(OR(G24="",H24=""),"",G24+MAX(H24,1)-1)</f>
        <v>46400</v>
      </c>
      <c r="J24" s="47"/>
      <c r="K24" s="36" t="s">
        <v>144</v>
      </c>
      <c r="L24" s="50"/>
      <c r="M24" s="51" t="str">
        <f aca="true">IF(OR(C24="",I24=""),"",IF(AND(K24&lt;&gt;"Done",I24&lt;TODAY()),"Overdue",IF(AND(J24&lt;&gt;"",IFERROR(G24&lt;INDEX($I$12:$I$47,MATCH(J24,$A$12:$A$47,0)),FALSE())),"Check order","")))</f>
        <v/>
      </c>
      <c r="N24" s="35"/>
    </row>
    <row r="25" customFormat="false" ht="27.75" hidden="false" customHeight="true" outlineLevel="0" collapsed="false">
      <c r="A25" s="46" t="n">
        <f aca="false">IF(C25="","",ROW()-11)</f>
        <v>14</v>
      </c>
      <c r="B25" s="36" t="s">
        <v>266</v>
      </c>
      <c r="C25" s="35" t="s">
        <v>268</v>
      </c>
      <c r="D25" s="36" t="s">
        <v>132</v>
      </c>
      <c r="E25" s="47" t="n">
        <v>-30</v>
      </c>
      <c r="F25" s="48"/>
      <c r="G25" s="49" t="n">
        <f aca="false">IF(C25="","",IF(F25&lt;&gt;"",F25,IF(E25="","",$C$6+E25)))</f>
        <v>46399</v>
      </c>
      <c r="H25" s="47" t="n">
        <v>28</v>
      </c>
      <c r="I25" s="49" t="n">
        <f aca="false">IF(OR(G25="",H25=""),"",G25+MAX(H25,1)-1)</f>
        <v>46426</v>
      </c>
      <c r="J25" s="47"/>
      <c r="K25" s="36" t="s">
        <v>144</v>
      </c>
      <c r="L25" s="50"/>
      <c r="M25" s="51" t="str">
        <f aca="true">IF(OR(C25="",I25=""),"",IF(AND(K25&lt;&gt;"Done",I25&lt;TODAY()),"Overdue",IF(AND(J25&lt;&gt;"",IFERROR(G25&lt;INDEX($I$12:$I$47,MATCH(J25,$A$12:$A$47,0)),FALSE())),"Check order","")))</f>
        <v/>
      </c>
      <c r="N25" s="35"/>
    </row>
    <row r="26" customFormat="false" ht="27.75" hidden="false" customHeight="true" outlineLevel="0" collapsed="false">
      <c r="A26" s="46" t="n">
        <f aca="false">IF(C26="","",ROW()-11)</f>
        <v>15</v>
      </c>
      <c r="B26" s="36" t="s">
        <v>269</v>
      </c>
      <c r="C26" s="35" t="s">
        <v>270</v>
      </c>
      <c r="D26" s="36" t="s">
        <v>56</v>
      </c>
      <c r="E26" s="47" t="n">
        <v>-14</v>
      </c>
      <c r="F26" s="48"/>
      <c r="G26" s="49" t="n">
        <f aca="false">IF(C26="","",IF(F26&lt;&gt;"",F26,IF(E26="","",$C$6+E26)))</f>
        <v>46415</v>
      </c>
      <c r="H26" s="47" t="n">
        <v>7</v>
      </c>
      <c r="I26" s="49" t="n">
        <f aca="false">IF(OR(G26="",H26=""),"",G26+MAX(H26,1)-1)</f>
        <v>46421</v>
      </c>
      <c r="J26" s="47"/>
      <c r="K26" s="36" t="s">
        <v>144</v>
      </c>
      <c r="L26" s="50"/>
      <c r="M26" s="51" t="str">
        <f aca="true">IF(OR(C26="",I26=""),"",IF(AND(K26&lt;&gt;"Done",I26&lt;TODAY()),"Overdue",IF(AND(J26&lt;&gt;"",IFERROR(G26&lt;INDEX($I$12:$I$47,MATCH(J26,$A$12:$A$47,0)),FALSE())),"Check order","")))</f>
        <v/>
      </c>
      <c r="N26" s="35"/>
    </row>
    <row r="27" customFormat="false" ht="27.75" hidden="false" customHeight="true" outlineLevel="0" collapsed="false">
      <c r="A27" s="46" t="n">
        <f aca="false">IF(C27="","",ROW()-11)</f>
        <v>16</v>
      </c>
      <c r="B27" s="36" t="s">
        <v>269</v>
      </c>
      <c r="C27" s="35" t="s">
        <v>271</v>
      </c>
      <c r="D27" s="36" t="s">
        <v>202</v>
      </c>
      <c r="E27" s="47" t="n">
        <v>-12</v>
      </c>
      <c r="F27" s="48"/>
      <c r="G27" s="49" t="n">
        <f aca="false">IF(C27="","",IF(F27&lt;&gt;"",F27,IF(E27="","",$C$6+E27)))</f>
        <v>46417</v>
      </c>
      <c r="H27" s="47" t="n">
        <v>3</v>
      </c>
      <c r="I27" s="49" t="n">
        <f aca="false">IF(OR(G27="",H27=""),"",G27+MAX(H27,1)-1)</f>
        <v>46419</v>
      </c>
      <c r="J27" s="47" t="n">
        <v>8</v>
      </c>
      <c r="K27" s="36" t="s">
        <v>144</v>
      </c>
      <c r="L27" s="50"/>
      <c r="M27" s="51" t="str">
        <f aca="true">IF(OR(C27="",I27=""),"",IF(AND(K27&lt;&gt;"Done",I27&lt;TODAY()),"Overdue",IF(AND(J27&lt;&gt;"",IFERROR(G27&lt;INDEX($I$12:$I$47,MATCH(J27,$A$12:$A$47,0)),FALSE())),"Check order","")))</f>
        <v/>
      </c>
      <c r="N27" s="35"/>
    </row>
    <row r="28" customFormat="false" ht="27.75" hidden="false" customHeight="true" outlineLevel="0" collapsed="false">
      <c r="A28" s="46" t="n">
        <f aca="false">IF(C28="","",ROW()-11)</f>
        <v>17</v>
      </c>
      <c r="B28" s="36" t="s">
        <v>269</v>
      </c>
      <c r="C28" s="35" t="s">
        <v>272</v>
      </c>
      <c r="D28" s="36" t="s">
        <v>132</v>
      </c>
      <c r="E28" s="47" t="n">
        <v>-5</v>
      </c>
      <c r="F28" s="48"/>
      <c r="G28" s="49" t="n">
        <f aca="false">IF(C28="","",IF(F28&lt;&gt;"",F28,IF(E28="","",$C$6+E28)))</f>
        <v>46424</v>
      </c>
      <c r="H28" s="47" t="n">
        <v>3</v>
      </c>
      <c r="I28" s="49" t="n">
        <f aca="false">IF(OR(G28="",H28=""),"",G28+MAX(H28,1)-1)</f>
        <v>46426</v>
      </c>
      <c r="J28" s="47"/>
      <c r="K28" s="36" t="s">
        <v>144</v>
      </c>
      <c r="L28" s="50"/>
      <c r="M28" s="51" t="str">
        <f aca="true">IF(OR(C28="",I28=""),"",IF(AND(K28&lt;&gt;"Done",I28&lt;TODAY()),"Overdue",IF(AND(J28&lt;&gt;"",IFERROR(G28&lt;INDEX($I$12:$I$47,MATCH(J28,$A$12:$A$47,0)),FALSE())),"Check order","")))</f>
        <v/>
      </c>
      <c r="N28" s="35"/>
    </row>
    <row r="29" customFormat="false" ht="27.75" hidden="false" customHeight="true" outlineLevel="0" collapsed="false">
      <c r="A29" s="46" t="n">
        <f aca="false">IF(C29="","",ROW()-11)</f>
        <v>18</v>
      </c>
      <c r="B29" s="36" t="s">
        <v>273</v>
      </c>
      <c r="C29" s="35" t="s">
        <v>274</v>
      </c>
      <c r="D29" s="36" t="s">
        <v>275</v>
      </c>
      <c r="E29" s="47" t="n">
        <v>-1</v>
      </c>
      <c r="F29" s="48"/>
      <c r="G29" s="49" t="n">
        <f aca="false">IF(C29="","",IF(F29&lt;&gt;"",F29,IF(E29="","",$C$6+E29)))</f>
        <v>46428</v>
      </c>
      <c r="H29" s="47" t="n">
        <v>1</v>
      </c>
      <c r="I29" s="49" t="n">
        <f aca="false">IF(OR(G29="",H29=""),"",G29+MAX(H29,1)-1)</f>
        <v>46428</v>
      </c>
      <c r="J29" s="47" t="n">
        <v>16</v>
      </c>
      <c r="K29" s="36" t="s">
        <v>144</v>
      </c>
      <c r="L29" s="50"/>
      <c r="M29" s="51" t="str">
        <f aca="true">IF(OR(C29="",I29=""),"",IF(AND(K29&lt;&gt;"Done",I29&lt;TODAY()),"Overdue",IF(AND(J29&lt;&gt;"",IFERROR(G29&lt;INDEX($I$12:$I$47,MATCH(J29,$A$12:$A$47,0)),FALSE())),"Check order","")))</f>
        <v/>
      </c>
      <c r="N29" s="35"/>
    </row>
    <row r="30" customFormat="false" ht="27.75" hidden="false" customHeight="true" outlineLevel="0" collapsed="false">
      <c r="A30" s="46" t="n">
        <f aca="false">IF(C30="","",ROW()-11)</f>
        <v>19</v>
      </c>
      <c r="B30" s="36" t="s">
        <v>273</v>
      </c>
      <c r="C30" s="35" t="s">
        <v>276</v>
      </c>
      <c r="D30" s="36" t="s">
        <v>275</v>
      </c>
      <c r="E30" s="47" t="n">
        <v>0</v>
      </c>
      <c r="F30" s="48"/>
      <c r="G30" s="49" t="n">
        <f aca="false">IF(C30="","",IF(F30&lt;&gt;"",F30,IF(E30="","",$C$6+E30)))</f>
        <v>46429</v>
      </c>
      <c r="H30" s="47" t="n">
        <v>3</v>
      </c>
      <c r="I30" s="49" t="n">
        <f aca="false">IF(OR(G30="",H30=""),"",G30+MAX(H30,1)-1)</f>
        <v>46431</v>
      </c>
      <c r="J30" s="47" t="n">
        <v>18</v>
      </c>
      <c r="K30" s="36" t="s">
        <v>144</v>
      </c>
      <c r="L30" s="50"/>
      <c r="M30" s="51" t="str">
        <f aca="true">IF(OR(C30="",I30=""),"",IF(AND(K30&lt;&gt;"Done",I30&lt;TODAY()),"Overdue",IF(AND(J30&lt;&gt;"",IFERROR(G30&lt;INDEX($I$12:$I$47,MATCH(J30,$A$12:$A$47,0)),FALSE())),"Check order","")))</f>
        <v/>
      </c>
      <c r="N30" s="35"/>
    </row>
    <row r="31" customFormat="false" ht="27.75" hidden="false" customHeight="true" outlineLevel="0" collapsed="false">
      <c r="A31" s="46" t="n">
        <f aca="false">IF(C31="","",ROW()-11)</f>
        <v>20</v>
      </c>
      <c r="B31" s="36" t="s">
        <v>273</v>
      </c>
      <c r="C31" s="35" t="s">
        <v>277</v>
      </c>
      <c r="D31" s="36" t="s">
        <v>202</v>
      </c>
      <c r="E31" s="47" t="n">
        <v>0</v>
      </c>
      <c r="F31" s="48"/>
      <c r="G31" s="49" t="n">
        <f aca="false">IF(C31="","",IF(F31&lt;&gt;"",F31,IF(E31="","",$C$6+E31)))</f>
        <v>46429</v>
      </c>
      <c r="H31" s="47" t="n">
        <v>3</v>
      </c>
      <c r="I31" s="49" t="n">
        <f aca="false">IF(OR(G31="",H31=""),"",G31+MAX(H31,1)-1)</f>
        <v>46431</v>
      </c>
      <c r="J31" s="47" t="n">
        <v>9</v>
      </c>
      <c r="K31" s="36" t="s">
        <v>144</v>
      </c>
      <c r="L31" s="50"/>
      <c r="M31" s="51" t="str">
        <f aca="true">IF(OR(C31="",I31=""),"",IF(AND(K31&lt;&gt;"Done",I31&lt;TODAY()),"Overdue",IF(AND(J31&lt;&gt;"",IFERROR(G31&lt;INDEX($I$12:$I$47,MATCH(J31,$A$12:$A$47,0)),FALSE())),"Check order","")))</f>
        <v/>
      </c>
      <c r="N31" s="35"/>
    </row>
    <row r="32" customFormat="false" ht="27.75" hidden="false" customHeight="true" outlineLevel="0" collapsed="false">
      <c r="A32" s="46" t="n">
        <f aca="false">IF(C32="","",ROW()-11)</f>
        <v>21</v>
      </c>
      <c r="B32" s="36" t="s">
        <v>278</v>
      </c>
      <c r="C32" s="35" t="s">
        <v>279</v>
      </c>
      <c r="D32" s="36" t="s">
        <v>275</v>
      </c>
      <c r="E32" s="47" t="n">
        <v>3</v>
      </c>
      <c r="F32" s="48"/>
      <c r="G32" s="49" t="n">
        <f aca="false">IF(C32="","",IF(F32&lt;&gt;"",F32,IF(E32="","",$C$6+E32)))</f>
        <v>46432</v>
      </c>
      <c r="H32" s="47" t="n">
        <v>1</v>
      </c>
      <c r="I32" s="49" t="n">
        <f aca="false">IF(OR(G32="",H32=""),"",G32+MAX(H32,1)-1)</f>
        <v>46432</v>
      </c>
      <c r="J32" s="47" t="n">
        <v>19</v>
      </c>
      <c r="K32" s="36" t="s">
        <v>144</v>
      </c>
      <c r="L32" s="50"/>
      <c r="M32" s="51" t="str">
        <f aca="true">IF(OR(C32="",I32=""),"",IF(AND(K32&lt;&gt;"Done",I32&lt;TODAY()),"Overdue",IF(AND(J32&lt;&gt;"",IFERROR(G32&lt;INDEX($I$12:$I$47,MATCH(J32,$A$12:$A$47,0)),FALSE())),"Check order","")))</f>
        <v/>
      </c>
      <c r="N32" s="35"/>
    </row>
    <row r="33" customFormat="false" ht="27.75" hidden="false" customHeight="true" outlineLevel="0" collapsed="false">
      <c r="A33" s="46" t="n">
        <f aca="false">IF(C33="","",ROW()-11)</f>
        <v>22</v>
      </c>
      <c r="B33" s="36" t="s">
        <v>278</v>
      </c>
      <c r="C33" s="35" t="s">
        <v>280</v>
      </c>
      <c r="D33" s="36" t="s">
        <v>202</v>
      </c>
      <c r="E33" s="47" t="n">
        <v>3</v>
      </c>
      <c r="F33" s="48"/>
      <c r="G33" s="49" t="n">
        <f aca="false">IF(C33="","",IF(F33&lt;&gt;"",F33,IF(E33="","",$C$6+E33)))</f>
        <v>46432</v>
      </c>
      <c r="H33" s="47" t="n">
        <v>2</v>
      </c>
      <c r="I33" s="49" t="n">
        <f aca="false">IF(OR(G33="",H33=""),"",G33+MAX(H33,1)-1)</f>
        <v>46433</v>
      </c>
      <c r="J33" s="47" t="n">
        <v>20</v>
      </c>
      <c r="K33" s="36" t="s">
        <v>144</v>
      </c>
      <c r="L33" s="50"/>
      <c r="M33" s="51" t="str">
        <f aca="true">IF(OR(C33="",I33=""),"",IF(AND(K33&lt;&gt;"Done",I33&lt;TODAY()),"Overdue",IF(AND(J33&lt;&gt;"",IFERROR(G33&lt;INDEX($I$12:$I$47,MATCH(J33,$A$12:$A$47,0)),FALSE())),"Check order","")))</f>
        <v/>
      </c>
      <c r="N33" s="35"/>
    </row>
    <row r="34" customFormat="false" ht="27.75" hidden="false" customHeight="true" outlineLevel="0" collapsed="false">
      <c r="A34" s="46" t="n">
        <f aca="false">IF(C34="","",ROW()-11)</f>
        <v>23</v>
      </c>
      <c r="B34" s="36" t="s">
        <v>278</v>
      </c>
      <c r="C34" s="35" t="s">
        <v>281</v>
      </c>
      <c r="D34" s="36" t="s">
        <v>202</v>
      </c>
      <c r="E34" s="47" t="n">
        <v>5</v>
      </c>
      <c r="F34" s="48"/>
      <c r="G34" s="49" t="n">
        <f aca="false">IF(C34="","",IF(F34&lt;&gt;"",F34,IF(E34="","",$C$6+E34)))</f>
        <v>46434</v>
      </c>
      <c r="H34" s="47" t="n">
        <v>21</v>
      </c>
      <c r="I34" s="49" t="n">
        <f aca="false">IF(OR(G34="",H34=""),"",G34+MAX(H34,1)-1)</f>
        <v>46454</v>
      </c>
      <c r="J34" s="47" t="n">
        <v>22</v>
      </c>
      <c r="K34" s="36" t="s">
        <v>144</v>
      </c>
      <c r="L34" s="50"/>
      <c r="M34" s="51" t="str">
        <f aca="true">IF(OR(C34="",I34=""),"",IF(AND(K34&lt;&gt;"Done",I34&lt;TODAY()),"Overdue",IF(AND(J34&lt;&gt;"",IFERROR(G34&lt;INDEX($I$12:$I$47,MATCH(J34,$A$12:$A$47,0)),FALSE())),"Check order","")))</f>
        <v/>
      </c>
      <c r="N34" s="35"/>
    </row>
    <row r="35" customFormat="false" ht="27.75" hidden="false" customHeight="true" outlineLevel="0" collapsed="false">
      <c r="A35" s="46" t="n">
        <f aca="false">IF(C35="","",ROW()-11)</f>
        <v>24</v>
      </c>
      <c r="B35" s="36" t="s">
        <v>278</v>
      </c>
      <c r="C35" s="35" t="s">
        <v>282</v>
      </c>
      <c r="D35" s="36" t="s">
        <v>56</v>
      </c>
      <c r="E35" s="47" t="n">
        <v>14</v>
      </c>
      <c r="F35" s="48"/>
      <c r="G35" s="49" t="n">
        <f aca="false">IF(C35="","",IF(F35&lt;&gt;"",F35,IF(E35="","",$C$6+E35)))</f>
        <v>46443</v>
      </c>
      <c r="H35" s="47" t="n">
        <v>3</v>
      </c>
      <c r="I35" s="49" t="n">
        <f aca="false">IF(OR(G35="",H35=""),"",G35+MAX(H35,1)-1)</f>
        <v>46445</v>
      </c>
      <c r="J35" s="47" t="n">
        <v>22</v>
      </c>
      <c r="K35" s="36" t="s">
        <v>144</v>
      </c>
      <c r="L35" s="50"/>
      <c r="M35" s="51" t="str">
        <f aca="true">IF(OR(C35="",I35=""),"",IF(AND(K35&lt;&gt;"Done",I35&lt;TODAY()),"Overdue",IF(AND(J35&lt;&gt;"",IFERROR(G35&lt;INDEX($I$12:$I$47,MATCH(J35,$A$12:$A$47,0)),FALSE())),"Check order","")))</f>
        <v/>
      </c>
      <c r="N35" s="35"/>
    </row>
    <row r="36" customFormat="false" ht="15" hidden="false" customHeight="true" outlineLevel="0" collapsed="false">
      <c r="A36" s="46" t="str">
        <f aca="false">IF(C36="","",ROW()-11)</f>
        <v/>
      </c>
      <c r="B36" s="36"/>
      <c r="C36" s="35"/>
      <c r="D36" s="36"/>
      <c r="E36" s="47"/>
      <c r="F36" s="48"/>
      <c r="G36" s="49" t="str">
        <f aca="false">IF(C36="","",IF(F36&lt;&gt;"",F36,IF(E36="","",$C$6+E36)))</f>
        <v/>
      </c>
      <c r="H36" s="47"/>
      <c r="I36" s="49" t="str">
        <f aca="false">IF(OR(G36="",H36=""),"",G36+MAX(H36,1)-1)</f>
        <v/>
      </c>
      <c r="J36" s="47"/>
      <c r="K36" s="36"/>
      <c r="L36" s="50"/>
      <c r="M36" s="51" t="str">
        <f aca="true">IF(OR(C36="",I36=""),"",IF(AND(K36&lt;&gt;"Done",I36&lt;TODAY()),"Overdue",IF(AND(J36&lt;&gt;"",IFERROR(G36&lt;INDEX($I$12:$I$47,MATCH(J36,$A$12:$A$47,0)),FALSE())),"Check order","")))</f>
        <v/>
      </c>
      <c r="N36" s="35"/>
    </row>
    <row r="37" customFormat="false" ht="15" hidden="false" customHeight="true" outlineLevel="0" collapsed="false">
      <c r="A37" s="46" t="str">
        <f aca="false">IF(C37="","",ROW()-11)</f>
        <v/>
      </c>
      <c r="B37" s="36"/>
      <c r="C37" s="35"/>
      <c r="D37" s="36"/>
      <c r="E37" s="47"/>
      <c r="F37" s="48"/>
      <c r="G37" s="49" t="str">
        <f aca="false">IF(C37="","",IF(F37&lt;&gt;"",F37,IF(E37="","",$C$6+E37)))</f>
        <v/>
      </c>
      <c r="H37" s="47"/>
      <c r="I37" s="49" t="str">
        <f aca="false">IF(OR(G37="",H37=""),"",G37+MAX(H37,1)-1)</f>
        <v/>
      </c>
      <c r="J37" s="47"/>
      <c r="K37" s="36"/>
      <c r="L37" s="50"/>
      <c r="M37" s="51" t="str">
        <f aca="true">IF(OR(C37="",I37=""),"",IF(AND(K37&lt;&gt;"Done",I37&lt;TODAY()),"Overdue",IF(AND(J37&lt;&gt;"",IFERROR(G37&lt;INDEX($I$12:$I$47,MATCH(J37,$A$12:$A$47,0)),FALSE())),"Check order","")))</f>
        <v/>
      </c>
      <c r="N37" s="35"/>
    </row>
    <row r="38" customFormat="false" ht="15" hidden="false" customHeight="true" outlineLevel="0" collapsed="false">
      <c r="A38" s="46" t="str">
        <f aca="false">IF(C38="","",ROW()-11)</f>
        <v/>
      </c>
      <c r="B38" s="36"/>
      <c r="C38" s="35"/>
      <c r="D38" s="36"/>
      <c r="E38" s="47"/>
      <c r="F38" s="48"/>
      <c r="G38" s="49" t="str">
        <f aca="false">IF(C38="","",IF(F38&lt;&gt;"",F38,IF(E38="","",$C$6+E38)))</f>
        <v/>
      </c>
      <c r="H38" s="47"/>
      <c r="I38" s="49" t="str">
        <f aca="false">IF(OR(G38="",H38=""),"",G38+MAX(H38,1)-1)</f>
        <v/>
      </c>
      <c r="J38" s="47"/>
      <c r="K38" s="36"/>
      <c r="L38" s="50"/>
      <c r="M38" s="51" t="str">
        <f aca="true">IF(OR(C38="",I38=""),"",IF(AND(K38&lt;&gt;"Done",I38&lt;TODAY()),"Overdue",IF(AND(J38&lt;&gt;"",IFERROR(G38&lt;INDEX($I$12:$I$47,MATCH(J38,$A$12:$A$47,0)),FALSE())),"Check order","")))</f>
        <v/>
      </c>
      <c r="N38" s="35"/>
    </row>
    <row r="39" customFormat="false" ht="15" hidden="false" customHeight="true" outlineLevel="0" collapsed="false">
      <c r="A39" s="46" t="str">
        <f aca="false">IF(C39="","",ROW()-11)</f>
        <v/>
      </c>
      <c r="B39" s="36"/>
      <c r="C39" s="35"/>
      <c r="D39" s="36"/>
      <c r="E39" s="47"/>
      <c r="F39" s="48"/>
      <c r="G39" s="49" t="str">
        <f aca="false">IF(C39="","",IF(F39&lt;&gt;"",F39,IF(E39="","",$C$6+E39)))</f>
        <v/>
      </c>
      <c r="H39" s="47"/>
      <c r="I39" s="49" t="str">
        <f aca="false">IF(OR(G39="",H39=""),"",G39+MAX(H39,1)-1)</f>
        <v/>
      </c>
      <c r="J39" s="47"/>
      <c r="K39" s="36"/>
      <c r="L39" s="50"/>
      <c r="M39" s="51" t="str">
        <f aca="true">IF(OR(C39="",I39=""),"",IF(AND(K39&lt;&gt;"Done",I39&lt;TODAY()),"Overdue",IF(AND(J39&lt;&gt;"",IFERROR(G39&lt;INDEX($I$12:$I$47,MATCH(J39,$A$12:$A$47,0)),FALSE())),"Check order","")))</f>
        <v/>
      </c>
      <c r="N39" s="35"/>
    </row>
    <row r="40" customFormat="false" ht="15" hidden="false" customHeight="true" outlineLevel="0" collapsed="false">
      <c r="A40" s="46" t="str">
        <f aca="false">IF(C40="","",ROW()-11)</f>
        <v/>
      </c>
      <c r="B40" s="36"/>
      <c r="C40" s="35"/>
      <c r="D40" s="36"/>
      <c r="E40" s="47"/>
      <c r="F40" s="48"/>
      <c r="G40" s="49" t="str">
        <f aca="false">IF(C40="","",IF(F40&lt;&gt;"",F40,IF(E40="","",$C$6+E40)))</f>
        <v/>
      </c>
      <c r="H40" s="47"/>
      <c r="I40" s="49" t="str">
        <f aca="false">IF(OR(G40="",H40=""),"",G40+MAX(H40,1)-1)</f>
        <v/>
      </c>
      <c r="J40" s="47"/>
      <c r="K40" s="36"/>
      <c r="L40" s="50"/>
      <c r="M40" s="51" t="str">
        <f aca="true">IF(OR(C40="",I40=""),"",IF(AND(K40&lt;&gt;"Done",I40&lt;TODAY()),"Overdue",IF(AND(J40&lt;&gt;"",IFERROR(G40&lt;INDEX($I$12:$I$47,MATCH(J40,$A$12:$A$47,0)),FALSE())),"Check order","")))</f>
        <v/>
      </c>
      <c r="N40" s="35"/>
    </row>
    <row r="41" customFormat="false" ht="15" hidden="false" customHeight="true" outlineLevel="0" collapsed="false">
      <c r="A41" s="46" t="str">
        <f aca="false">IF(C41="","",ROW()-11)</f>
        <v/>
      </c>
      <c r="B41" s="36"/>
      <c r="C41" s="35"/>
      <c r="D41" s="36"/>
      <c r="E41" s="47"/>
      <c r="F41" s="48"/>
      <c r="G41" s="49" t="str">
        <f aca="false">IF(C41="","",IF(F41&lt;&gt;"",F41,IF(E41="","",$C$6+E41)))</f>
        <v/>
      </c>
      <c r="H41" s="47"/>
      <c r="I41" s="49" t="str">
        <f aca="false">IF(OR(G41="",H41=""),"",G41+MAX(H41,1)-1)</f>
        <v/>
      </c>
      <c r="J41" s="47"/>
      <c r="K41" s="36"/>
      <c r="L41" s="50"/>
      <c r="M41" s="51" t="str">
        <f aca="true">IF(OR(C41="",I41=""),"",IF(AND(K41&lt;&gt;"Done",I41&lt;TODAY()),"Overdue",IF(AND(J41&lt;&gt;"",IFERROR(G41&lt;INDEX($I$12:$I$47,MATCH(J41,$A$12:$A$47,0)),FALSE())),"Check order","")))</f>
        <v/>
      </c>
      <c r="N41" s="35"/>
    </row>
    <row r="42" customFormat="false" ht="15" hidden="false" customHeight="true" outlineLevel="0" collapsed="false">
      <c r="A42" s="46" t="str">
        <f aca="false">IF(C42="","",ROW()-11)</f>
        <v/>
      </c>
      <c r="B42" s="36"/>
      <c r="C42" s="35"/>
      <c r="D42" s="36"/>
      <c r="E42" s="47"/>
      <c r="F42" s="48"/>
      <c r="G42" s="49" t="str">
        <f aca="false">IF(C42="","",IF(F42&lt;&gt;"",F42,IF(E42="","",$C$6+E42)))</f>
        <v/>
      </c>
      <c r="H42" s="47"/>
      <c r="I42" s="49" t="str">
        <f aca="false">IF(OR(G42="",H42=""),"",G42+MAX(H42,1)-1)</f>
        <v/>
      </c>
      <c r="J42" s="47"/>
      <c r="K42" s="36"/>
      <c r="L42" s="50"/>
      <c r="M42" s="51" t="str">
        <f aca="true">IF(OR(C42="",I42=""),"",IF(AND(K42&lt;&gt;"Done",I42&lt;TODAY()),"Overdue",IF(AND(J42&lt;&gt;"",IFERROR(G42&lt;INDEX($I$12:$I$47,MATCH(J42,$A$12:$A$47,0)),FALSE())),"Check order","")))</f>
        <v/>
      </c>
      <c r="N42" s="35"/>
    </row>
    <row r="43" customFormat="false" ht="15" hidden="false" customHeight="true" outlineLevel="0" collapsed="false">
      <c r="A43" s="46" t="str">
        <f aca="false">IF(C43="","",ROW()-11)</f>
        <v/>
      </c>
      <c r="B43" s="36"/>
      <c r="C43" s="35"/>
      <c r="D43" s="36"/>
      <c r="E43" s="47"/>
      <c r="F43" s="48"/>
      <c r="G43" s="49" t="str">
        <f aca="false">IF(C43="","",IF(F43&lt;&gt;"",F43,IF(E43="","",$C$6+E43)))</f>
        <v/>
      </c>
      <c r="H43" s="47"/>
      <c r="I43" s="49" t="str">
        <f aca="false">IF(OR(G43="",H43=""),"",G43+MAX(H43,1)-1)</f>
        <v/>
      </c>
      <c r="J43" s="47"/>
      <c r="K43" s="36"/>
      <c r="L43" s="50"/>
      <c r="M43" s="51" t="str">
        <f aca="true">IF(OR(C43="",I43=""),"",IF(AND(K43&lt;&gt;"Done",I43&lt;TODAY()),"Overdue",IF(AND(J43&lt;&gt;"",IFERROR(G43&lt;INDEX($I$12:$I$47,MATCH(J43,$A$12:$A$47,0)),FALSE())),"Check order","")))</f>
        <v/>
      </c>
      <c r="N43" s="35"/>
    </row>
    <row r="44" customFormat="false" ht="15" hidden="false" customHeight="true" outlineLevel="0" collapsed="false">
      <c r="A44" s="46" t="str">
        <f aca="false">IF(C44="","",ROW()-11)</f>
        <v/>
      </c>
      <c r="B44" s="36"/>
      <c r="C44" s="35"/>
      <c r="D44" s="36"/>
      <c r="E44" s="47"/>
      <c r="F44" s="48"/>
      <c r="G44" s="49" t="str">
        <f aca="false">IF(C44="","",IF(F44&lt;&gt;"",F44,IF(E44="","",$C$6+E44)))</f>
        <v/>
      </c>
      <c r="H44" s="47"/>
      <c r="I44" s="49" t="str">
        <f aca="false">IF(OR(G44="",H44=""),"",G44+MAX(H44,1)-1)</f>
        <v/>
      </c>
      <c r="J44" s="47"/>
      <c r="K44" s="36"/>
      <c r="L44" s="50"/>
      <c r="M44" s="51" t="str">
        <f aca="true">IF(OR(C44="",I44=""),"",IF(AND(K44&lt;&gt;"Done",I44&lt;TODAY()),"Overdue",IF(AND(J44&lt;&gt;"",IFERROR(G44&lt;INDEX($I$12:$I$47,MATCH(J44,$A$12:$A$47,0)),FALSE())),"Check order","")))</f>
        <v/>
      </c>
      <c r="N44" s="35"/>
    </row>
    <row r="45" customFormat="false" ht="15" hidden="false" customHeight="true" outlineLevel="0" collapsed="false">
      <c r="A45" s="46" t="str">
        <f aca="false">IF(C45="","",ROW()-11)</f>
        <v/>
      </c>
      <c r="B45" s="36"/>
      <c r="C45" s="35"/>
      <c r="D45" s="36"/>
      <c r="E45" s="47"/>
      <c r="F45" s="48"/>
      <c r="G45" s="49" t="str">
        <f aca="false">IF(C45="","",IF(F45&lt;&gt;"",F45,IF(E45="","",$C$6+E45)))</f>
        <v/>
      </c>
      <c r="H45" s="47"/>
      <c r="I45" s="49" t="str">
        <f aca="false">IF(OR(G45="",H45=""),"",G45+MAX(H45,1)-1)</f>
        <v/>
      </c>
      <c r="J45" s="47"/>
      <c r="K45" s="36"/>
      <c r="L45" s="50"/>
      <c r="M45" s="51" t="str">
        <f aca="true">IF(OR(C45="",I45=""),"",IF(AND(K45&lt;&gt;"Done",I45&lt;TODAY()),"Overdue",IF(AND(J45&lt;&gt;"",IFERROR(G45&lt;INDEX($I$12:$I$47,MATCH(J45,$A$12:$A$47,0)),FALSE())),"Check order","")))</f>
        <v/>
      </c>
      <c r="N45" s="35"/>
    </row>
    <row r="46" customFormat="false" ht="15" hidden="false" customHeight="true" outlineLevel="0" collapsed="false">
      <c r="A46" s="46" t="str">
        <f aca="false">IF(C46="","",ROW()-11)</f>
        <v/>
      </c>
      <c r="B46" s="36"/>
      <c r="C46" s="35"/>
      <c r="D46" s="36"/>
      <c r="E46" s="47"/>
      <c r="F46" s="48"/>
      <c r="G46" s="49" t="str">
        <f aca="false">IF(C46="","",IF(F46&lt;&gt;"",F46,IF(E46="","",$C$6+E46)))</f>
        <v/>
      </c>
      <c r="H46" s="47"/>
      <c r="I46" s="49" t="str">
        <f aca="false">IF(OR(G46="",H46=""),"",G46+MAX(H46,1)-1)</f>
        <v/>
      </c>
      <c r="J46" s="47"/>
      <c r="K46" s="36"/>
      <c r="L46" s="50"/>
      <c r="M46" s="51" t="str">
        <f aca="true">IF(OR(C46="",I46=""),"",IF(AND(K46&lt;&gt;"Done",I46&lt;TODAY()),"Overdue",IF(AND(J46&lt;&gt;"",IFERROR(G46&lt;INDEX($I$12:$I$47,MATCH(J46,$A$12:$A$47,0)),FALSE())),"Check order","")))</f>
        <v/>
      </c>
      <c r="N46" s="35"/>
    </row>
    <row r="47" customFormat="false" ht="15" hidden="false" customHeight="true" outlineLevel="0" collapsed="false">
      <c r="A47" s="46" t="str">
        <f aca="false">IF(C47="","",ROW()-11)</f>
        <v/>
      </c>
      <c r="B47" s="36"/>
      <c r="C47" s="35"/>
      <c r="D47" s="36"/>
      <c r="E47" s="47"/>
      <c r="F47" s="48"/>
      <c r="G47" s="49" t="str">
        <f aca="false">IF(C47="","",IF(F47&lt;&gt;"",F47,IF(E47="","",$C$6+E47)))</f>
        <v/>
      </c>
      <c r="H47" s="47"/>
      <c r="I47" s="49" t="str">
        <f aca="false">IF(OR(G47="",H47=""),"",G47+MAX(H47,1)-1)</f>
        <v/>
      </c>
      <c r="J47" s="47"/>
      <c r="K47" s="36"/>
      <c r="L47" s="50"/>
      <c r="M47" s="51" t="str">
        <f aca="true">IF(OR(C47="",I47=""),"",IF(AND(K47&lt;&gt;"Done",I47&lt;TODAY()),"Overdue",IF(AND(J47&lt;&gt;"",IFERROR(G47&lt;INDEX($I$12:$I$47,MATCH(J47,$A$12:$A$47,0)),FALSE())),"Check order","")))</f>
        <v/>
      </c>
      <c r="N47" s="35"/>
    </row>
    <row r="48" customFormat="false" ht="15" hidden="false" customHeight="false" outlineLevel="0" collapsed="false">
      <c r="C48" s="25" t="s">
        <v>283</v>
      </c>
    </row>
    <row r="50" customFormat="false" ht="15" hidden="false" customHeight="false" outlineLevel="0" collapsed="false">
      <c r="B50" s="26" t="s">
        <v>284</v>
      </c>
      <c r="C50" s="6"/>
      <c r="D50" s="6"/>
      <c r="E50" s="6"/>
      <c r="F50" s="6"/>
      <c r="G50" s="6"/>
      <c r="H50" s="6"/>
      <c r="I50" s="6"/>
      <c r="J50" s="6"/>
      <c r="K50" s="6"/>
      <c r="L50" s="6"/>
      <c r="M50" s="6"/>
    </row>
    <row r="51" customFormat="false" ht="30" hidden="false" customHeight="true" outlineLevel="0" collapsed="false">
      <c r="A51" s="18"/>
      <c r="B51" s="18" t="s">
        <v>285</v>
      </c>
      <c r="C51" s="52" t="s">
        <v>286</v>
      </c>
      <c r="D51" s="52"/>
      <c r="E51" s="52" t="s">
        <v>287</v>
      </c>
      <c r="F51" s="52"/>
      <c r="G51" s="52"/>
      <c r="H51" s="52"/>
      <c r="I51" s="52" t="s">
        <v>288</v>
      </c>
      <c r="J51" s="52"/>
      <c r="K51" s="52"/>
      <c r="L51" s="52"/>
      <c r="M51" s="18" t="s">
        <v>108</v>
      </c>
    </row>
    <row r="52" customFormat="false" ht="30" hidden="false" customHeight="true" outlineLevel="0" collapsed="false">
      <c r="B52" s="35" t="s">
        <v>289</v>
      </c>
      <c r="C52" s="32" t="s">
        <v>290</v>
      </c>
      <c r="D52" s="32"/>
      <c r="E52" s="32" t="s">
        <v>291</v>
      </c>
      <c r="F52" s="32"/>
      <c r="G52" s="32"/>
      <c r="H52" s="32"/>
      <c r="I52" s="32" t="s">
        <v>292</v>
      </c>
      <c r="J52" s="32"/>
      <c r="K52" s="32"/>
      <c r="L52" s="32"/>
      <c r="M52" s="36" t="s">
        <v>293</v>
      </c>
    </row>
    <row r="53" customFormat="false" ht="30" hidden="false" customHeight="true" outlineLevel="0" collapsed="false">
      <c r="B53" s="35" t="s">
        <v>294</v>
      </c>
      <c r="C53" s="32" t="s">
        <v>295</v>
      </c>
      <c r="D53" s="32"/>
      <c r="E53" s="32" t="s">
        <v>296</v>
      </c>
      <c r="F53" s="32"/>
      <c r="G53" s="32"/>
      <c r="H53" s="32"/>
      <c r="I53" s="32" t="s">
        <v>297</v>
      </c>
      <c r="J53" s="32"/>
      <c r="K53" s="32"/>
      <c r="L53" s="32"/>
      <c r="M53" s="36" t="s">
        <v>298</v>
      </c>
    </row>
    <row r="54" customFormat="false" ht="30" hidden="false" customHeight="true" outlineLevel="0" collapsed="false">
      <c r="B54" s="35" t="s">
        <v>299</v>
      </c>
      <c r="C54" s="32" t="s">
        <v>300</v>
      </c>
      <c r="D54" s="32"/>
      <c r="E54" s="32" t="s">
        <v>301</v>
      </c>
      <c r="F54" s="32"/>
      <c r="G54" s="32"/>
      <c r="H54" s="32"/>
      <c r="I54" s="32" t="s">
        <v>302</v>
      </c>
      <c r="J54" s="32"/>
      <c r="K54" s="32"/>
      <c r="L54" s="32"/>
      <c r="M54" s="36" t="s">
        <v>303</v>
      </c>
    </row>
    <row r="55" customFormat="false" ht="30" hidden="false" customHeight="true" outlineLevel="0" collapsed="false">
      <c r="B55" s="35"/>
      <c r="C55" s="32"/>
      <c r="D55" s="32"/>
      <c r="E55" s="32"/>
      <c r="F55" s="32"/>
      <c r="G55" s="32"/>
      <c r="H55" s="32"/>
      <c r="I55" s="32"/>
      <c r="J55" s="32"/>
      <c r="K55" s="32"/>
      <c r="L55" s="32"/>
      <c r="M55" s="36"/>
    </row>
    <row r="58" customFormat="false" ht="15" hidden="false" customHeight="false" outlineLevel="0" collapsed="false">
      <c r="B58" s="26" t="s">
        <v>304</v>
      </c>
      <c r="C58" s="6"/>
      <c r="D58" s="6"/>
      <c r="E58" s="6"/>
      <c r="F58" s="6"/>
      <c r="G58" s="6"/>
      <c r="H58" s="6"/>
      <c r="I58" s="6"/>
      <c r="J58" s="6"/>
      <c r="K58" s="6"/>
      <c r="L58" s="6"/>
      <c r="M58" s="6"/>
    </row>
    <row r="59" customFormat="false" ht="30" hidden="false" customHeight="true" outlineLevel="0" collapsed="false">
      <c r="A59" s="18"/>
      <c r="B59" s="18" t="s">
        <v>305</v>
      </c>
      <c r="C59" s="18" t="s">
        <v>306</v>
      </c>
      <c r="D59" s="52" t="s">
        <v>307</v>
      </c>
      <c r="E59" s="52"/>
      <c r="F59" s="52" t="s">
        <v>308</v>
      </c>
      <c r="G59" s="52"/>
      <c r="H59" s="52" t="s">
        <v>124</v>
      </c>
      <c r="I59" s="52"/>
      <c r="J59" s="52"/>
      <c r="K59" s="52"/>
      <c r="L59" s="52"/>
      <c r="M59" s="52"/>
    </row>
    <row r="60" customFormat="false" ht="15" hidden="false" customHeight="false" outlineLevel="0" collapsed="false">
      <c r="B60" s="36" t="s">
        <v>309</v>
      </c>
      <c r="C60" s="36" t="s">
        <v>310</v>
      </c>
      <c r="D60" s="57" t="n">
        <v>3500</v>
      </c>
      <c r="E60" s="57"/>
      <c r="F60" s="57" t="n">
        <v>3500</v>
      </c>
      <c r="G60" s="57"/>
      <c r="H60" s="53"/>
      <c r="I60" s="53"/>
      <c r="J60" s="53"/>
      <c r="K60" s="53"/>
      <c r="L60" s="53"/>
      <c r="M60" s="53"/>
    </row>
    <row r="61" customFormat="false" ht="15" hidden="false" customHeight="false" outlineLevel="0" collapsed="false">
      <c r="B61" s="36" t="s">
        <v>309</v>
      </c>
      <c r="C61" s="36" t="s">
        <v>311</v>
      </c>
      <c r="D61" s="57" t="n">
        <v>600</v>
      </c>
      <c r="E61" s="57"/>
      <c r="F61" s="57"/>
      <c r="G61" s="57"/>
      <c r="H61" s="53"/>
      <c r="I61" s="53"/>
      <c r="J61" s="53"/>
      <c r="K61" s="53"/>
      <c r="L61" s="53"/>
      <c r="M61" s="53"/>
    </row>
    <row r="62" customFormat="false" ht="15" hidden="false" customHeight="false" outlineLevel="0" collapsed="false">
      <c r="B62" s="36" t="s">
        <v>309</v>
      </c>
      <c r="C62" s="36" t="s">
        <v>312</v>
      </c>
      <c r="D62" s="57" t="n">
        <v>1800</v>
      </c>
      <c r="E62" s="57"/>
      <c r="F62" s="57" t="n">
        <v>1650</v>
      </c>
      <c r="G62" s="57"/>
      <c r="H62" s="53"/>
      <c r="I62" s="53"/>
      <c r="J62" s="53"/>
      <c r="K62" s="53"/>
      <c r="L62" s="53"/>
      <c r="M62" s="53"/>
    </row>
    <row r="63" customFormat="false" ht="15" hidden="false" customHeight="false" outlineLevel="0" collapsed="false">
      <c r="B63" s="36" t="s">
        <v>313</v>
      </c>
      <c r="C63" s="36" t="s">
        <v>314</v>
      </c>
      <c r="D63" s="57" t="n">
        <v>600</v>
      </c>
      <c r="E63" s="57"/>
      <c r="F63" s="57"/>
      <c r="G63" s="57"/>
      <c r="H63" s="53"/>
      <c r="I63" s="53"/>
      <c r="J63" s="53"/>
      <c r="K63" s="53"/>
      <c r="L63" s="53"/>
      <c r="M63" s="53"/>
    </row>
    <row r="64" customFormat="false" ht="15" hidden="false" customHeight="false" outlineLevel="0" collapsed="false">
      <c r="B64" s="36" t="s">
        <v>313</v>
      </c>
      <c r="C64" s="36" t="s">
        <v>315</v>
      </c>
      <c r="D64" s="57" t="n">
        <v>400</v>
      </c>
      <c r="E64" s="57"/>
      <c r="F64" s="57"/>
      <c r="G64" s="57"/>
      <c r="H64" s="53"/>
      <c r="I64" s="53"/>
      <c r="J64" s="53"/>
      <c r="K64" s="53"/>
      <c r="L64" s="53"/>
      <c r="M64" s="53"/>
    </row>
    <row r="65" customFormat="false" ht="15" hidden="false" customHeight="false" outlineLevel="0" collapsed="false">
      <c r="B65" s="36" t="s">
        <v>313</v>
      </c>
      <c r="C65" s="36" t="s">
        <v>316</v>
      </c>
      <c r="D65" s="57" t="n">
        <v>500</v>
      </c>
      <c r="E65" s="57"/>
      <c r="F65" s="57"/>
      <c r="G65" s="57"/>
      <c r="H65" s="53"/>
      <c r="I65" s="53"/>
      <c r="J65" s="53"/>
      <c r="K65" s="53"/>
      <c r="L65" s="53"/>
      <c r="M65" s="53"/>
    </row>
    <row r="66" customFormat="false" ht="15" hidden="false" customHeight="false" outlineLevel="0" collapsed="false">
      <c r="B66" s="36" t="s">
        <v>317</v>
      </c>
      <c r="C66" s="36" t="s">
        <v>318</v>
      </c>
      <c r="D66" s="57" t="n">
        <v>300</v>
      </c>
      <c r="E66" s="57"/>
      <c r="F66" s="57"/>
      <c r="G66" s="57"/>
      <c r="H66" s="53"/>
      <c r="I66" s="53"/>
      <c r="J66" s="53"/>
      <c r="K66" s="53"/>
      <c r="L66" s="53"/>
      <c r="M66" s="53"/>
    </row>
    <row r="67" customFormat="false" ht="15" hidden="false" customHeight="false" outlineLevel="0" collapsed="false">
      <c r="B67" s="36" t="s">
        <v>317</v>
      </c>
      <c r="C67" s="36" t="s">
        <v>319</v>
      </c>
      <c r="D67" s="57" t="n">
        <v>250</v>
      </c>
      <c r="E67" s="57"/>
      <c r="F67" s="57"/>
      <c r="G67" s="57"/>
      <c r="H67" s="53"/>
      <c r="I67" s="53"/>
      <c r="J67" s="53"/>
      <c r="K67" s="53"/>
      <c r="L67" s="53"/>
      <c r="M67" s="53"/>
    </row>
    <row r="68" customFormat="false" ht="15" hidden="false" customHeight="false" outlineLevel="0" collapsed="false">
      <c r="B68" s="36" t="s">
        <v>317</v>
      </c>
      <c r="C68" s="36" t="s">
        <v>320</v>
      </c>
      <c r="D68" s="57" t="n">
        <v>400</v>
      </c>
      <c r="E68" s="57"/>
      <c r="F68" s="57"/>
      <c r="G68" s="57"/>
      <c r="H68" s="53"/>
      <c r="I68" s="53"/>
      <c r="J68" s="53"/>
      <c r="K68" s="53"/>
      <c r="L68" s="53"/>
      <c r="M68" s="53"/>
    </row>
    <row r="69" customFormat="false" ht="15" hidden="false" customHeight="false" outlineLevel="0" collapsed="false">
      <c r="B69" s="36" t="s">
        <v>321</v>
      </c>
      <c r="C69" s="36" t="s">
        <v>322</v>
      </c>
      <c r="D69" s="57" t="n">
        <v>450</v>
      </c>
      <c r="E69" s="57"/>
      <c r="F69" s="57"/>
      <c r="G69" s="57"/>
      <c r="H69" s="53"/>
      <c r="I69" s="53"/>
      <c r="J69" s="53"/>
      <c r="K69" s="53"/>
      <c r="L69" s="53"/>
      <c r="M69" s="53"/>
    </row>
    <row r="70" customFormat="false" ht="15" hidden="false" customHeight="false" outlineLevel="0" collapsed="false">
      <c r="B70" s="36" t="s">
        <v>321</v>
      </c>
      <c r="C70" s="36" t="s">
        <v>323</v>
      </c>
      <c r="D70" s="57" t="n">
        <v>500</v>
      </c>
      <c r="E70" s="57"/>
      <c r="F70" s="57"/>
      <c r="G70" s="57"/>
      <c r="H70" s="53"/>
      <c r="I70" s="53"/>
      <c r="J70" s="53"/>
      <c r="K70" s="53"/>
      <c r="L70" s="53"/>
      <c r="M70" s="53"/>
    </row>
    <row r="71" customFormat="false" ht="15" hidden="false" customHeight="false" outlineLevel="0" collapsed="false">
      <c r="B71" s="36" t="s">
        <v>321</v>
      </c>
      <c r="C71" s="36" t="s">
        <v>324</v>
      </c>
      <c r="D71" s="57" t="n">
        <v>200</v>
      </c>
      <c r="E71" s="57"/>
      <c r="F71" s="57"/>
      <c r="G71" s="57"/>
      <c r="H71" s="53"/>
      <c r="I71" s="53"/>
      <c r="J71" s="53"/>
      <c r="K71" s="53"/>
      <c r="L71" s="53"/>
      <c r="M71" s="53"/>
    </row>
    <row r="72" customFormat="false" ht="15" hidden="false" customHeight="false" outlineLevel="0" collapsed="false">
      <c r="B72" s="36" t="s">
        <v>325</v>
      </c>
      <c r="C72" s="36" t="s">
        <v>326</v>
      </c>
      <c r="D72" s="57" t="n">
        <v>0</v>
      </c>
      <c r="E72" s="57"/>
      <c r="F72" s="57"/>
      <c r="G72" s="57"/>
      <c r="H72" s="53"/>
      <c r="I72" s="53"/>
      <c r="J72" s="53"/>
      <c r="K72" s="53"/>
      <c r="L72" s="53"/>
      <c r="M72" s="53"/>
    </row>
    <row r="73" customFormat="false" ht="15" hidden="false" customHeight="false" outlineLevel="0" collapsed="false">
      <c r="B73" s="36"/>
      <c r="C73" s="36"/>
      <c r="D73" s="57"/>
      <c r="E73" s="57"/>
      <c r="F73" s="57"/>
      <c r="G73" s="57"/>
      <c r="H73" s="53"/>
      <c r="I73" s="53"/>
      <c r="J73" s="53"/>
      <c r="K73" s="53"/>
      <c r="L73" s="53"/>
      <c r="M73" s="53"/>
    </row>
    <row r="74" customFormat="false" ht="15" hidden="false" customHeight="false" outlineLevel="0" collapsed="false">
      <c r="B74" s="36"/>
      <c r="C74" s="36"/>
      <c r="D74" s="57"/>
      <c r="E74" s="57"/>
      <c r="F74" s="57"/>
      <c r="G74" s="57"/>
      <c r="H74" s="53"/>
      <c r="I74" s="53"/>
      <c r="J74" s="53"/>
      <c r="K74" s="53"/>
      <c r="L74" s="53"/>
      <c r="M74" s="53"/>
    </row>
    <row r="75" customFormat="false" ht="15" hidden="false" customHeight="false" outlineLevel="0" collapsed="false">
      <c r="B75" s="36"/>
      <c r="C75" s="36"/>
      <c r="D75" s="57"/>
      <c r="E75" s="57"/>
      <c r="F75" s="57"/>
      <c r="G75" s="57"/>
      <c r="H75" s="53"/>
      <c r="I75" s="53"/>
      <c r="J75" s="53"/>
      <c r="K75" s="53"/>
      <c r="L75" s="53"/>
      <c r="M75" s="53"/>
    </row>
    <row r="76" customFormat="false" ht="15" hidden="false" customHeight="false" outlineLevel="0" collapsed="false">
      <c r="C76" s="17" t="s">
        <v>327</v>
      </c>
      <c r="D76" s="58" t="n">
        <f aca="false">SUM(D60:D75)</f>
        <v>9500</v>
      </c>
      <c r="E76" s="58"/>
      <c r="F76" s="58" t="n">
        <f aca="false">SUM(F60:F75)</f>
        <v>5150</v>
      </c>
      <c r="G76" s="58"/>
      <c r="H76" s="19" t="str">
        <f aca="false">IF(N($C$7)=0,"",IF(D76&gt;$C$7,"Estimate is over budget by "&amp;TEXT(D76-$C$7,"$#,##0"),IF(D76=$C$7,"Right on budget","Under budget by "&amp;TEXT($C$7-D76,"$#,##0"))))</f>
        <v>Right on budget</v>
      </c>
    </row>
    <row r="79" customFormat="false" ht="15" hidden="false" customHeight="false" outlineLevel="0" collapsed="false">
      <c r="B79" s="26" t="s">
        <v>328</v>
      </c>
      <c r="C79" s="6"/>
      <c r="D79" s="6"/>
      <c r="E79" s="6"/>
      <c r="F79" s="6"/>
      <c r="G79" s="6"/>
      <c r="H79" s="6"/>
      <c r="I79" s="6"/>
      <c r="J79" s="6"/>
      <c r="K79" s="6"/>
      <c r="L79" s="6"/>
      <c r="M79" s="6"/>
    </row>
    <row r="80" customFormat="false" ht="15" hidden="false" customHeight="false" outlineLevel="0" collapsed="false">
      <c r="C80" s="17" t="s">
        <v>329</v>
      </c>
      <c r="D80" s="47"/>
      <c r="F80" s="17" t="s">
        <v>330</v>
      </c>
      <c r="H80" s="58" t="str">
        <f aca="false">IF(N(D80)=0,"",N(IF(N(F76)&gt;0,F76,D76))/D80)</f>
        <v/>
      </c>
      <c r="I80" s="58"/>
    </row>
    <row r="81" customFormat="false" ht="15" hidden="false" customHeight="false" outlineLevel="0" collapsed="false">
      <c r="C81" s="17" t="s">
        <v>331</v>
      </c>
      <c r="D81" s="47"/>
      <c r="F81" s="17" t="s">
        <v>332</v>
      </c>
      <c r="H81" s="58" t="str">
        <f aca="false">IF(N(D82)=0,"",N(IF(N(F76)&gt;0,F76,D76))/D82)</f>
        <v/>
      </c>
      <c r="I81" s="58"/>
    </row>
    <row r="82" customFormat="false" ht="15" hidden="false" customHeight="false" outlineLevel="0" collapsed="false">
      <c r="C82" s="17" t="s">
        <v>333</v>
      </c>
      <c r="D82" s="47"/>
      <c r="F82" s="17" t="s">
        <v>334</v>
      </c>
      <c r="H82" s="59" t="str">
        <f aca="false">IF(OR(N(D84)=0,N(IF(N(F76)&gt;0,F76,D76))=0),"",(D84-IF(N(F76)&gt;0,F76,D76))/IF(N(F76)&gt;0,F76,D76))</f>
        <v/>
      </c>
      <c r="I82" s="59"/>
    </row>
    <row r="83" customFormat="false" ht="15" hidden="false" customHeight="false" outlineLevel="0" collapsed="false">
      <c r="C83" s="17" t="s">
        <v>335</v>
      </c>
      <c r="D83" s="47"/>
      <c r="F83" s="17" t="s">
        <v>336</v>
      </c>
      <c r="H83" s="53"/>
      <c r="I83" s="53"/>
    </row>
    <row r="84" customFormat="false" ht="15" hidden="false" customHeight="false" outlineLevel="0" collapsed="false">
      <c r="C84" s="17" t="s">
        <v>337</v>
      </c>
      <c r="D84" s="43"/>
    </row>
    <row r="85" customFormat="false" ht="15" hidden="false" customHeight="false" outlineLevel="0" collapsed="false">
      <c r="C85" s="25" t="s">
        <v>338</v>
      </c>
    </row>
    <row r="88" customFormat="false" ht="15" hidden="false" customHeight="false" outlineLevel="0" collapsed="false">
      <c r="B88" s="26" t="s">
        <v>339</v>
      </c>
      <c r="C88" s="6"/>
      <c r="D88" s="6"/>
      <c r="E88" s="6"/>
      <c r="F88" s="6"/>
      <c r="G88" s="6"/>
      <c r="I88" s="26" t="s">
        <v>340</v>
      </c>
      <c r="J88" s="6"/>
      <c r="K88" s="6"/>
      <c r="L88" s="6"/>
      <c r="M88" s="6"/>
    </row>
    <row r="89" customFormat="false" ht="30" hidden="false" customHeight="true" outlineLevel="0" collapsed="false">
      <c r="A89" s="18"/>
      <c r="B89" s="52" t="s">
        <v>306</v>
      </c>
      <c r="C89" s="52"/>
      <c r="D89" s="18" t="s">
        <v>341</v>
      </c>
      <c r="E89" s="18" t="s">
        <v>342</v>
      </c>
      <c r="F89" s="18" t="s">
        <v>124</v>
      </c>
      <c r="G89" s="18"/>
      <c r="I89" s="33" t="s">
        <v>343</v>
      </c>
      <c r="J89" s="33" t="s">
        <v>344</v>
      </c>
      <c r="K89" s="33" t="s">
        <v>345</v>
      </c>
      <c r="L89" s="33"/>
      <c r="M89" s="33" t="s">
        <v>346</v>
      </c>
    </row>
    <row r="90" customFormat="false" ht="15" hidden="false" customHeight="false" outlineLevel="0" collapsed="false">
      <c r="B90" s="53" t="s">
        <v>312</v>
      </c>
      <c r="C90" s="53"/>
      <c r="D90" s="60" t="n">
        <v>1</v>
      </c>
      <c r="E90" s="36" t="s">
        <v>179</v>
      </c>
      <c r="F90" s="53"/>
      <c r="G90" s="53"/>
      <c r="I90" s="36" t="s">
        <v>347</v>
      </c>
      <c r="J90" s="36" t="s">
        <v>348</v>
      </c>
      <c r="K90" s="36" t="s">
        <v>56</v>
      </c>
      <c r="L90" s="53" t="s">
        <v>349</v>
      </c>
      <c r="M90" s="53"/>
    </row>
    <row r="91" customFormat="false" ht="15" hidden="false" customHeight="false" outlineLevel="0" collapsed="false">
      <c r="B91" s="53" t="s">
        <v>350</v>
      </c>
      <c r="C91" s="53"/>
      <c r="D91" s="60" t="n">
        <v>1</v>
      </c>
      <c r="E91" s="36" t="s">
        <v>179</v>
      </c>
      <c r="F91" s="53"/>
      <c r="G91" s="53"/>
      <c r="I91" s="36" t="s">
        <v>347</v>
      </c>
      <c r="J91" s="36" t="s">
        <v>351</v>
      </c>
      <c r="K91" s="36" t="s">
        <v>202</v>
      </c>
      <c r="L91" s="53" t="s">
        <v>352</v>
      </c>
      <c r="M91" s="53"/>
    </row>
    <row r="92" customFormat="false" ht="15" hidden="false" customHeight="false" outlineLevel="0" collapsed="false">
      <c r="B92" s="53" t="s">
        <v>353</v>
      </c>
      <c r="C92" s="53"/>
      <c r="D92" s="60" t="n">
        <v>2</v>
      </c>
      <c r="E92" s="36" t="s">
        <v>179</v>
      </c>
      <c r="F92" s="53"/>
      <c r="G92" s="53"/>
      <c r="I92" s="36" t="s">
        <v>354</v>
      </c>
      <c r="J92" s="36" t="s">
        <v>348</v>
      </c>
      <c r="K92" s="36" t="s">
        <v>132</v>
      </c>
      <c r="L92" s="53" t="s">
        <v>355</v>
      </c>
      <c r="M92" s="53"/>
    </row>
    <row r="93" customFormat="false" ht="15" hidden="false" customHeight="false" outlineLevel="0" collapsed="false">
      <c r="B93" s="53" t="s">
        <v>356</v>
      </c>
      <c r="C93" s="53"/>
      <c r="D93" s="60" t="n">
        <v>1</v>
      </c>
      <c r="E93" s="36" t="s">
        <v>179</v>
      </c>
      <c r="F93" s="53"/>
      <c r="G93" s="53"/>
      <c r="I93" s="36" t="s">
        <v>354</v>
      </c>
      <c r="J93" s="36" t="s">
        <v>351</v>
      </c>
      <c r="K93" s="36" t="s">
        <v>56</v>
      </c>
      <c r="L93" s="53" t="s">
        <v>99</v>
      </c>
      <c r="M93" s="53"/>
    </row>
    <row r="94" customFormat="false" ht="15" hidden="false" customHeight="false" outlineLevel="0" collapsed="false">
      <c r="B94" s="53" t="s">
        <v>357</v>
      </c>
      <c r="C94" s="53"/>
      <c r="D94" s="60" t="n">
        <v>2</v>
      </c>
      <c r="E94" s="36" t="s">
        <v>179</v>
      </c>
      <c r="F94" s="53"/>
      <c r="G94" s="53"/>
      <c r="I94" s="36" t="s">
        <v>358</v>
      </c>
      <c r="J94" s="36" t="s">
        <v>348</v>
      </c>
      <c r="K94" s="36" t="s">
        <v>202</v>
      </c>
      <c r="L94" s="53" t="s">
        <v>359</v>
      </c>
      <c r="M94" s="53"/>
    </row>
    <row r="95" customFormat="false" ht="15" hidden="false" customHeight="false" outlineLevel="0" collapsed="false">
      <c r="B95" s="53" t="s">
        <v>360</v>
      </c>
      <c r="C95" s="53"/>
      <c r="D95" s="60" t="n">
        <v>3</v>
      </c>
      <c r="E95" s="36" t="s">
        <v>179</v>
      </c>
      <c r="F95" s="53"/>
      <c r="G95" s="53"/>
      <c r="I95" s="36" t="s">
        <v>358</v>
      </c>
      <c r="J95" s="36" t="s">
        <v>361</v>
      </c>
      <c r="K95" s="36" t="s">
        <v>275</v>
      </c>
      <c r="L95" s="53" t="s">
        <v>362</v>
      </c>
      <c r="M95" s="53"/>
    </row>
    <row r="96" customFormat="false" ht="15" hidden="false" customHeight="false" outlineLevel="0" collapsed="false">
      <c r="B96" s="53" t="s">
        <v>363</v>
      </c>
      <c r="C96" s="53"/>
      <c r="D96" s="60" t="n">
        <v>1</v>
      </c>
      <c r="E96" s="36" t="s">
        <v>179</v>
      </c>
      <c r="F96" s="53"/>
      <c r="G96" s="53"/>
      <c r="I96" s="36"/>
      <c r="J96" s="36"/>
      <c r="K96" s="36"/>
      <c r="L96" s="53"/>
      <c r="M96" s="53"/>
    </row>
    <row r="97" customFormat="false" ht="15" hidden="false" customHeight="false" outlineLevel="0" collapsed="false">
      <c r="B97" s="53" t="s">
        <v>364</v>
      </c>
      <c r="C97" s="53"/>
      <c r="D97" s="60" t="n">
        <v>500</v>
      </c>
      <c r="E97" s="36" t="s">
        <v>179</v>
      </c>
      <c r="F97" s="53"/>
      <c r="G97" s="53"/>
      <c r="I97" s="36"/>
      <c r="J97" s="36"/>
      <c r="K97" s="36"/>
      <c r="L97" s="53"/>
      <c r="M97" s="53"/>
    </row>
    <row r="98" customFormat="false" ht="15" hidden="false" customHeight="false" outlineLevel="0" collapsed="false">
      <c r="B98" s="53" t="s">
        <v>365</v>
      </c>
      <c r="C98" s="53"/>
      <c r="D98" s="60" t="n">
        <v>200</v>
      </c>
      <c r="E98" s="36" t="s">
        <v>179</v>
      </c>
      <c r="F98" s="53"/>
      <c r="G98" s="53"/>
      <c r="I98" s="36"/>
      <c r="J98" s="36"/>
      <c r="K98" s="36"/>
      <c r="L98" s="53"/>
      <c r="M98" s="53"/>
    </row>
    <row r="99" customFormat="false" ht="15" hidden="false" customHeight="false" outlineLevel="0" collapsed="false">
      <c r="B99" s="53" t="s">
        <v>366</v>
      </c>
      <c r="C99" s="53"/>
      <c r="D99" s="60" t="n">
        <v>300</v>
      </c>
      <c r="E99" s="36" t="s">
        <v>179</v>
      </c>
      <c r="F99" s="53"/>
      <c r="G99" s="53"/>
      <c r="I99" s="36"/>
      <c r="J99" s="36"/>
      <c r="K99" s="36"/>
      <c r="L99" s="53"/>
      <c r="M99" s="53"/>
    </row>
    <row r="100" customFormat="false" ht="15" hidden="false" customHeight="false" outlineLevel="0" collapsed="false">
      <c r="B100" s="53" t="s">
        <v>367</v>
      </c>
      <c r="C100" s="53"/>
      <c r="D100" s="60" t="n">
        <v>1</v>
      </c>
      <c r="E100" s="36" t="s">
        <v>179</v>
      </c>
      <c r="F100" s="53"/>
      <c r="G100" s="53"/>
    </row>
    <row r="101" customFormat="false" ht="15" hidden="false" customHeight="false" outlineLevel="0" collapsed="false">
      <c r="B101" s="53" t="s">
        <v>368</v>
      </c>
      <c r="C101" s="53"/>
      <c r="D101" s="60" t="n">
        <v>10</v>
      </c>
      <c r="E101" s="36" t="s">
        <v>179</v>
      </c>
      <c r="F101" s="53"/>
      <c r="G101" s="53"/>
      <c r="I101" s="26" t="s">
        <v>369</v>
      </c>
      <c r="J101" s="6"/>
      <c r="K101" s="6"/>
      <c r="L101" s="6"/>
      <c r="M101" s="6"/>
    </row>
    <row r="102" customFormat="false" ht="15" hidden="false" customHeight="false" outlineLevel="0" collapsed="false">
      <c r="B102" s="53" t="s">
        <v>370</v>
      </c>
      <c r="C102" s="53"/>
      <c r="D102" s="60" t="n">
        <v>1</v>
      </c>
      <c r="E102" s="36" t="s">
        <v>179</v>
      </c>
      <c r="F102" s="53"/>
      <c r="G102" s="53"/>
      <c r="I102" s="36" t="s">
        <v>371</v>
      </c>
      <c r="J102" s="53" t="s">
        <v>372</v>
      </c>
      <c r="K102" s="53"/>
      <c r="L102" s="53"/>
      <c r="M102" s="53"/>
    </row>
    <row r="103" customFormat="false" ht="15" hidden="false" customHeight="false" outlineLevel="0" collapsed="false">
      <c r="B103" s="53" t="s">
        <v>373</v>
      </c>
      <c r="C103" s="53"/>
      <c r="D103" s="60" t="n">
        <v>1</v>
      </c>
      <c r="E103" s="36" t="s">
        <v>179</v>
      </c>
      <c r="F103" s="53"/>
      <c r="G103" s="53"/>
      <c r="I103" s="36" t="s">
        <v>374</v>
      </c>
      <c r="J103" s="53" t="s">
        <v>375</v>
      </c>
      <c r="K103" s="53"/>
      <c r="L103" s="53"/>
      <c r="M103" s="53"/>
    </row>
    <row r="104" customFormat="false" ht="15" hidden="false" customHeight="false" outlineLevel="0" collapsed="false">
      <c r="B104" s="53" t="s">
        <v>376</v>
      </c>
      <c r="C104" s="53"/>
      <c r="D104" s="60" t="n">
        <v>1</v>
      </c>
      <c r="E104" s="36" t="s">
        <v>179</v>
      </c>
      <c r="F104" s="53"/>
      <c r="G104" s="53"/>
      <c r="I104" s="36" t="s">
        <v>377</v>
      </c>
      <c r="J104" s="53" t="s">
        <v>378</v>
      </c>
      <c r="K104" s="53"/>
      <c r="L104" s="53"/>
      <c r="M104" s="53"/>
    </row>
    <row r="105" customFormat="false" ht="15" hidden="false" customHeight="false" outlineLevel="0" collapsed="false">
      <c r="B105" s="53" t="s">
        <v>379</v>
      </c>
      <c r="C105" s="53"/>
      <c r="D105" s="60" t="n">
        <v>1</v>
      </c>
      <c r="E105" s="36" t="s">
        <v>179</v>
      </c>
      <c r="F105" s="53"/>
      <c r="G105" s="53"/>
      <c r="I105" s="36" t="s">
        <v>380</v>
      </c>
      <c r="J105" s="53" t="s">
        <v>381</v>
      </c>
      <c r="K105" s="53"/>
      <c r="L105" s="53"/>
      <c r="M105" s="53"/>
    </row>
    <row r="106" customFormat="false" ht="15" hidden="false" customHeight="false" outlineLevel="0" collapsed="false">
      <c r="B106" s="53" t="s">
        <v>382</v>
      </c>
      <c r="C106" s="53"/>
      <c r="D106" s="60" t="n">
        <v>4</v>
      </c>
      <c r="E106" s="36" t="s">
        <v>179</v>
      </c>
      <c r="F106" s="53"/>
      <c r="G106" s="53"/>
    </row>
    <row r="107" customFormat="false" ht="15" hidden="false" customHeight="false" outlineLevel="0" collapsed="false">
      <c r="B107" s="53" t="s">
        <v>383</v>
      </c>
      <c r="C107" s="53"/>
      <c r="D107" s="60" t="n">
        <v>1</v>
      </c>
      <c r="E107" s="36" t="s">
        <v>179</v>
      </c>
      <c r="F107" s="53"/>
      <c r="G107" s="53"/>
    </row>
    <row r="108" customFormat="false" ht="15" hidden="false" customHeight="false" outlineLevel="0" collapsed="false">
      <c r="B108" s="53" t="s">
        <v>384</v>
      </c>
      <c r="C108" s="53"/>
      <c r="D108" s="60" t="n">
        <v>1</v>
      </c>
      <c r="E108" s="36" t="s">
        <v>179</v>
      </c>
      <c r="F108" s="53"/>
      <c r="G108" s="53"/>
    </row>
    <row r="109" customFormat="false" ht="15" hidden="false" customHeight="false" outlineLevel="0" collapsed="false">
      <c r="B109" s="53" t="s">
        <v>385</v>
      </c>
      <c r="C109" s="53"/>
      <c r="D109" s="60" t="n">
        <v>1</v>
      </c>
      <c r="E109" s="36" t="s">
        <v>179</v>
      </c>
      <c r="F109" s="53"/>
      <c r="G109" s="53"/>
    </row>
    <row r="110" customFormat="false" ht="15" hidden="false" customHeight="false" outlineLevel="0" collapsed="false">
      <c r="B110" s="17" t="s">
        <v>386</v>
      </c>
      <c r="D110" s="24" t="n">
        <f aca="false">COUNTIF(E90:E109,"No")</f>
        <v>20</v>
      </c>
    </row>
    <row r="113" customFormat="false" ht="15" hidden="false" customHeight="false" outlineLevel="0" collapsed="false">
      <c r="B113" s="26" t="s">
        <v>387</v>
      </c>
      <c r="C113" s="6"/>
      <c r="D113" s="6"/>
      <c r="E113" s="6"/>
      <c r="F113" s="6"/>
      <c r="G113" s="6"/>
      <c r="H113" s="6"/>
      <c r="I113" s="6"/>
      <c r="J113" s="6"/>
      <c r="K113" s="6"/>
      <c r="L113" s="6"/>
      <c r="M113" s="6"/>
    </row>
    <row r="114" customFormat="false" ht="30" hidden="false" customHeight="true" outlineLevel="0" collapsed="false">
      <c r="A114" s="18"/>
      <c r="B114" s="52" t="s">
        <v>388</v>
      </c>
      <c r="C114" s="52"/>
      <c r="D114" s="52"/>
      <c r="E114" s="52"/>
      <c r="F114" s="52"/>
      <c r="G114" s="52"/>
      <c r="H114" s="52"/>
      <c r="I114" s="52"/>
      <c r="J114" s="52"/>
      <c r="K114" s="52"/>
      <c r="L114" s="52"/>
      <c r="M114" s="52"/>
    </row>
    <row r="115" customFormat="false" ht="21.75" hidden="false" customHeight="true" outlineLevel="0" collapsed="false">
      <c r="B115" s="32"/>
      <c r="C115" s="32"/>
      <c r="D115" s="32"/>
      <c r="E115" s="32"/>
      <c r="F115" s="32"/>
      <c r="G115" s="32"/>
      <c r="H115" s="32"/>
      <c r="I115" s="32"/>
      <c r="J115" s="32"/>
      <c r="K115" s="32"/>
      <c r="L115" s="32"/>
      <c r="M115" s="32"/>
    </row>
    <row r="116" customFormat="false" ht="21.75" hidden="false" customHeight="true" outlineLevel="0" collapsed="false">
      <c r="B116" s="32"/>
      <c r="C116" s="32"/>
      <c r="D116" s="32"/>
      <c r="E116" s="32"/>
      <c r="F116" s="32"/>
      <c r="G116" s="32"/>
      <c r="H116" s="32"/>
      <c r="I116" s="32"/>
      <c r="J116" s="32"/>
      <c r="K116" s="32"/>
      <c r="L116" s="32"/>
      <c r="M116" s="32"/>
    </row>
    <row r="117" customFormat="false" ht="21.75" hidden="false" customHeight="true" outlineLevel="0" collapsed="false">
      <c r="B117" s="32"/>
      <c r="C117" s="32"/>
      <c r="D117" s="32"/>
      <c r="E117" s="32"/>
      <c r="F117" s="32"/>
      <c r="G117" s="32"/>
      <c r="H117" s="32"/>
      <c r="I117" s="32"/>
      <c r="J117" s="32"/>
      <c r="K117" s="32"/>
      <c r="L117" s="32"/>
      <c r="M117" s="32"/>
    </row>
    <row r="118" customFormat="false" ht="21.75" hidden="false" customHeight="true" outlineLevel="0" collapsed="false">
      <c r="B118" s="32"/>
      <c r="C118" s="32"/>
      <c r="D118" s="32"/>
      <c r="E118" s="32"/>
      <c r="F118" s="32"/>
      <c r="G118" s="32"/>
      <c r="H118" s="32"/>
      <c r="I118" s="32"/>
      <c r="J118" s="32"/>
      <c r="K118" s="32"/>
      <c r="L118" s="32"/>
      <c r="M118" s="32"/>
    </row>
    <row r="119" customFormat="false" ht="21.75" hidden="false" customHeight="true" outlineLevel="0" collapsed="false">
      <c r="B119" s="32"/>
      <c r="C119" s="32"/>
      <c r="D119" s="32"/>
      <c r="E119" s="32"/>
      <c r="F119" s="32"/>
      <c r="G119" s="32"/>
      <c r="H119" s="32"/>
      <c r="I119" s="32"/>
      <c r="J119" s="32"/>
      <c r="K119" s="32"/>
      <c r="L119" s="32"/>
      <c r="M119" s="32"/>
    </row>
    <row r="120" customFormat="false" ht="21.75" hidden="false" customHeight="true" outlineLevel="0" collapsed="false">
      <c r="B120" s="32"/>
      <c r="C120" s="32"/>
      <c r="D120" s="32"/>
      <c r="E120" s="32"/>
      <c r="F120" s="32"/>
      <c r="G120" s="32"/>
      <c r="H120" s="32"/>
      <c r="I120" s="32"/>
      <c r="J120" s="32"/>
      <c r="K120" s="32"/>
      <c r="L120" s="32"/>
      <c r="M120" s="32"/>
    </row>
    <row r="121" customFormat="false" ht="21.75" hidden="false" customHeight="true" outlineLevel="0" collapsed="false">
      <c r="B121" s="32"/>
      <c r="C121" s="32"/>
      <c r="D121" s="32"/>
      <c r="E121" s="32"/>
      <c r="F121" s="32"/>
      <c r="G121" s="32"/>
      <c r="H121" s="32"/>
      <c r="I121" s="32"/>
      <c r="J121" s="32"/>
      <c r="K121" s="32"/>
      <c r="L121" s="32"/>
      <c r="M121" s="32"/>
    </row>
    <row r="122" customFormat="false" ht="21.75" hidden="false" customHeight="true" outlineLevel="0" collapsed="false">
      <c r="B122" s="32"/>
      <c r="C122" s="32"/>
      <c r="D122" s="32"/>
      <c r="E122" s="32"/>
      <c r="F122" s="32"/>
      <c r="G122" s="32"/>
      <c r="H122" s="32"/>
      <c r="I122" s="32"/>
      <c r="J122" s="32"/>
      <c r="K122" s="32"/>
      <c r="L122" s="32"/>
      <c r="M122" s="32"/>
    </row>
  </sheetData>
  <mergeCells count="142">
    <mergeCell ref="G4:H4"/>
    <mergeCell ref="K4:L4"/>
    <mergeCell ref="G5:H5"/>
    <mergeCell ref="K5:L5"/>
    <mergeCell ref="G6:H6"/>
    <mergeCell ref="K6:L6"/>
    <mergeCell ref="C51:D51"/>
    <mergeCell ref="E51:H51"/>
    <mergeCell ref="I51:L51"/>
    <mergeCell ref="C52:D52"/>
    <mergeCell ref="E52:H52"/>
    <mergeCell ref="I52:L52"/>
    <mergeCell ref="C53:D53"/>
    <mergeCell ref="E53:H53"/>
    <mergeCell ref="I53:L53"/>
    <mergeCell ref="C54:D54"/>
    <mergeCell ref="E54:H54"/>
    <mergeCell ref="I54:L54"/>
    <mergeCell ref="C55:D55"/>
    <mergeCell ref="E55:H55"/>
    <mergeCell ref="I55:L55"/>
    <mergeCell ref="D59:E59"/>
    <mergeCell ref="F59:G59"/>
    <mergeCell ref="H59:M59"/>
    <mergeCell ref="D60:E60"/>
    <mergeCell ref="F60:G60"/>
    <mergeCell ref="H60:M60"/>
    <mergeCell ref="D61:E61"/>
    <mergeCell ref="F61:G61"/>
    <mergeCell ref="H61:M61"/>
    <mergeCell ref="D62:E62"/>
    <mergeCell ref="F62:G62"/>
    <mergeCell ref="H62:M62"/>
    <mergeCell ref="D63:E63"/>
    <mergeCell ref="F63:G63"/>
    <mergeCell ref="H63:M63"/>
    <mergeCell ref="D64:E64"/>
    <mergeCell ref="F64:G64"/>
    <mergeCell ref="H64:M64"/>
    <mergeCell ref="D65:E65"/>
    <mergeCell ref="F65:G65"/>
    <mergeCell ref="H65:M65"/>
    <mergeCell ref="D66:E66"/>
    <mergeCell ref="F66:G66"/>
    <mergeCell ref="H66:M66"/>
    <mergeCell ref="D67:E67"/>
    <mergeCell ref="F67:G67"/>
    <mergeCell ref="H67:M67"/>
    <mergeCell ref="D68:E68"/>
    <mergeCell ref="F68:G68"/>
    <mergeCell ref="H68:M68"/>
    <mergeCell ref="D69:E69"/>
    <mergeCell ref="F69:G69"/>
    <mergeCell ref="H69:M69"/>
    <mergeCell ref="D70:E70"/>
    <mergeCell ref="F70:G70"/>
    <mergeCell ref="H70:M70"/>
    <mergeCell ref="D71:E71"/>
    <mergeCell ref="F71:G71"/>
    <mergeCell ref="H71:M71"/>
    <mergeCell ref="D72:E72"/>
    <mergeCell ref="F72:G72"/>
    <mergeCell ref="H72:M72"/>
    <mergeCell ref="D73:E73"/>
    <mergeCell ref="F73:G73"/>
    <mergeCell ref="H73:M73"/>
    <mergeCell ref="D74:E74"/>
    <mergeCell ref="F74:G74"/>
    <mergeCell ref="H74:M74"/>
    <mergeCell ref="D75:E75"/>
    <mergeCell ref="F75:G75"/>
    <mergeCell ref="H75:M75"/>
    <mergeCell ref="D76:E76"/>
    <mergeCell ref="F76:G76"/>
    <mergeCell ref="H80:I80"/>
    <mergeCell ref="H81:I81"/>
    <mergeCell ref="H82:I82"/>
    <mergeCell ref="H83:I83"/>
    <mergeCell ref="B89:C89"/>
    <mergeCell ref="B90:C90"/>
    <mergeCell ref="F90:G90"/>
    <mergeCell ref="L90:M90"/>
    <mergeCell ref="B91:C91"/>
    <mergeCell ref="F91:G91"/>
    <mergeCell ref="L91:M91"/>
    <mergeCell ref="B92:C92"/>
    <mergeCell ref="F92:G92"/>
    <mergeCell ref="L92:M92"/>
    <mergeCell ref="B93:C93"/>
    <mergeCell ref="F93:G93"/>
    <mergeCell ref="L93:M93"/>
    <mergeCell ref="B94:C94"/>
    <mergeCell ref="F94:G94"/>
    <mergeCell ref="L94:M94"/>
    <mergeCell ref="B95:C95"/>
    <mergeCell ref="F95:G95"/>
    <mergeCell ref="L95:M95"/>
    <mergeCell ref="B96:C96"/>
    <mergeCell ref="F96:G96"/>
    <mergeCell ref="L96:M96"/>
    <mergeCell ref="B97:C97"/>
    <mergeCell ref="F97:G97"/>
    <mergeCell ref="L97:M97"/>
    <mergeCell ref="B98:C98"/>
    <mergeCell ref="F98:G98"/>
    <mergeCell ref="L98:M98"/>
    <mergeCell ref="B99:C99"/>
    <mergeCell ref="F99:G99"/>
    <mergeCell ref="L99:M99"/>
    <mergeCell ref="B100:C100"/>
    <mergeCell ref="F100:G100"/>
    <mergeCell ref="B101:C101"/>
    <mergeCell ref="F101:G101"/>
    <mergeCell ref="B102:C102"/>
    <mergeCell ref="F102:G102"/>
    <mergeCell ref="J102:M102"/>
    <mergeCell ref="B103:C103"/>
    <mergeCell ref="F103:G103"/>
    <mergeCell ref="J103:M103"/>
    <mergeCell ref="B104:C104"/>
    <mergeCell ref="F104:G104"/>
    <mergeCell ref="J104:M104"/>
    <mergeCell ref="B105:C105"/>
    <mergeCell ref="F105:G105"/>
    <mergeCell ref="J105:M105"/>
    <mergeCell ref="B106:C106"/>
    <mergeCell ref="F106:G106"/>
    <mergeCell ref="B107:C107"/>
    <mergeCell ref="F107:G107"/>
    <mergeCell ref="B108:C108"/>
    <mergeCell ref="F108:G108"/>
    <mergeCell ref="B109:C109"/>
    <mergeCell ref="F109:G109"/>
    <mergeCell ref="B114:M114"/>
    <mergeCell ref="B115:M115"/>
    <mergeCell ref="B116:M116"/>
    <mergeCell ref="B117:M117"/>
    <mergeCell ref="B118:M118"/>
    <mergeCell ref="B119:M119"/>
    <mergeCell ref="B120:M120"/>
    <mergeCell ref="B121:M121"/>
    <mergeCell ref="B122:M122"/>
  </mergeCells>
  <conditionalFormatting sqref="K5">
    <cfRule type="expression" priority="2" aboveAverage="0" equalAverage="0" bottom="0" percent="0" rank="0" text="" dxfId="4">
      <formula>N(K5)&gt;0</formula>
    </cfRule>
  </conditionalFormatting>
  <conditionalFormatting sqref="G4">
    <cfRule type="dataBar" priority="3">
      <dataBar showValue="1" minLength="10" maxLength="90">
        <cfvo type="num" val="0"/>
        <cfvo type="num" val="1"/>
        <color rgb="FF8DC640"/>
      </dataBar>
      <extLst>
        <ext xmlns:x14="http://schemas.microsoft.com/office/spreadsheetml/2009/9/main" uri="{B025F937-C7B1-47D3-B67F-A62EFF666E3E}">
          <x14:id>{D7E88CE9-A95E-4A45-A18D-705B84B47AB3}</x14:id>
        </ext>
      </extLst>
    </cfRule>
  </conditionalFormatting>
  <conditionalFormatting sqref="O12:AR47">
    <cfRule type="expression" priority="4" aboveAverage="0" equalAverage="0" bottom="0" percent="0" rank="0" text="" dxfId="5">
      <formula>AND(AND($G12&lt;&gt;"",$I12&lt;&gt;"",$G12&lt;=O$11+6,$I12&gt;=O$11),$K12="Done")</formula>
    </cfRule>
    <cfRule type="expression" priority="5" aboveAverage="0" equalAverage="0" bottom="0" percent="0" rank="0" text="" dxfId="6">
      <formula>AND(AND($G12&lt;&gt;"",$I12&lt;&gt;"",$G12&lt;=O$11+6,$I12&gt;=O$11),$M12="Overdue")</formula>
    </cfRule>
    <cfRule type="expression" priority="6" aboveAverage="0" equalAverage="0" bottom="0" percent="0" rank="0" text="" dxfId="7">
      <formula>AND(AND($G12&lt;&gt;"",$I12&lt;&gt;"",$G12&lt;=O$11+6,$I12&gt;=O$11),OR($K12="Waiting on someone",$K12="Blocked"))</formula>
    </cfRule>
    <cfRule type="expression" priority="7" aboveAverage="0" equalAverage="0" bottom="0" percent="0" rank="0" text="" dxfId="8">
      <formula>AND($G12&lt;&gt;"",$I12&lt;&gt;"",$G12&lt;=O$11+6,$I12&gt;=O$11)</formula>
    </cfRule>
    <cfRule type="expression" priority="8" aboveAverage="0" equalAverage="0" bottom="0" percent="0" rank="0" text="" dxfId="10">
      <formula>AND($C$6&gt;=O$11,$C$6&lt;=O$11+6)</formula>
    </cfRule>
    <cfRule type="expression" priority="9" aboveAverage="0" equalAverage="0" bottom="0" percent="0" rank="0" text="" dxfId="3">
      <formula>AND(TODAY()&gt;=O$11,TODAY()&lt;=O$11+6)</formula>
    </cfRule>
  </conditionalFormatting>
  <conditionalFormatting sqref="O11:AR11">
    <cfRule type="expression" priority="10" aboveAverage="0" equalAverage="0" bottom="0" percent="0" rank="0" text="" dxfId="9">
      <formula>AND(TODAY()&gt;=O$11,TODAY()&lt;=O$11+6)</formula>
    </cfRule>
  </conditionalFormatting>
  <conditionalFormatting sqref="K12:K47">
    <cfRule type="expression" priority="11" aboveAverage="0" equalAverage="0" bottom="0" percent="0" rank="0" text="" dxfId="1">
      <formula>$K12="Done"</formula>
    </cfRule>
    <cfRule type="expression" priority="12" aboveAverage="0" equalAverage="0" bottom="0" percent="0" rank="0" text="" dxfId="0">
      <formula>$K12="In progress"</formula>
    </cfRule>
    <cfRule type="expression" priority="13" aboveAverage="0" equalAverage="0" bottom="0" percent="0" rank="0" text="" dxfId="3">
      <formula>$K12="Waiting on someone"</formula>
    </cfRule>
    <cfRule type="expression" priority="14" aboveAverage="0" equalAverage="0" bottom="0" percent="0" rank="0" text="" dxfId="2">
      <formula>$K12="Blocked"</formula>
    </cfRule>
  </conditionalFormatting>
  <conditionalFormatting sqref="M12:M47">
    <cfRule type="expression" priority="15" aboveAverage="0" equalAverage="0" bottom="0" percent="0" rank="0" text="" dxfId="4">
      <formula>M12="Overdue"</formula>
    </cfRule>
    <cfRule type="expression" priority="16" aboveAverage="0" equalAverage="0" bottom="0" percent="0" rank="0" text="" dxfId="3">
      <formula>M12="Check order"</formula>
    </cfRule>
  </conditionalFormatting>
  <conditionalFormatting sqref="E90:E109">
    <cfRule type="expression" priority="17" aboveAverage="0" equalAverage="0" bottom="0" percent="0" rank="0" text="" dxfId="0">
      <formula>E90="Yes"</formula>
    </cfRule>
    <cfRule type="expression" priority="18" aboveAverage="0" equalAverage="0" bottom="0" percent="0" rank="0" text="" dxfId="2">
      <formula>E90="No"</formula>
    </cfRule>
  </conditionalFormatting>
  <dataValidations count="5">
    <dataValidation allowBlank="true" errorStyle="stop" operator="between" showDropDown="false" showErrorMessage="false" showInputMessage="false" sqref="L12:L47" type="decimal">
      <formula1>0</formula1>
      <formula2>1</formula2>
    </dataValidation>
    <dataValidation allowBlank="true" errorStyle="stop" operator="between" showDropDown="false" showErrorMessage="false" showInputMessage="false" sqref="K12:K47" type="list">
      <formula1>"Not started,In progress,Waiting on someone,Blocked,Done"</formula1>
      <formula2>0</formula2>
    </dataValidation>
    <dataValidation allowBlank="true" errorStyle="stop" operator="between" showDropDown="false" showErrorMessage="false" showInputMessage="false" sqref="B60:B75" type="list">
      <formula1>"Booth &amp; rentals,Promotion,Swag &amp; handouts,Travel &amp; shipping,Other"</formula1>
      <formula2>0</formula2>
    </dataValidation>
    <dataValidation allowBlank="true" errorStyle="stop" operator="between" showDropDown="false" showErrorMessage="false" showInputMessage="false" sqref="H83" type="list">
      <formula1>"Yes,No,Maybe (with changes)"</formula1>
      <formula2>0</formula2>
    </dataValidation>
    <dataValidation allowBlank="true" errorStyle="stop" operator="between" showDropDown="false" showErrorMessage="false" showInputMessage="false" sqref="E90:E109"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D7E88CE9-A95E-4A45-A18D-705B84B47AB3}">
            <x14:dataBar minLength="10" maxLength="90" axisPosition="none" gradient="true">
              <x14:cfvo type="num">
                <xm:f>0</xm:f>
              </x14:cfvo>
              <x14:cfvo type="num">
                <xm:f>1</xm:f>
              </x14:cfvo>
              <x14:negativeFillColor rgb="FF8DC640"/>
              <x14:axisColor rgb="FF000000"/>
            </x14:dataBar>
          </x14:cfRule>
          <xm:sqref>G4</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S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3" min="3" style="0" width="12"/>
    <col collapsed="false" customWidth="true" hidden="false" outlineLevel="0" max="4" min="4" style="0" width="16"/>
    <col collapsed="false" customWidth="true" hidden="false" outlineLevel="0" max="5" min="5" style="0" width="12"/>
    <col collapsed="false" customWidth="true" hidden="false" outlineLevel="0" max="9" min="6" style="0" width="11"/>
    <col collapsed="false" customWidth="true" hidden="false" outlineLevel="0" max="11" min="10" style="0" width="12"/>
    <col collapsed="false" customWidth="true" hidden="false" outlineLevel="0" max="12" min="12" style="0" width="8"/>
    <col collapsed="false" customWidth="true" hidden="false" outlineLevel="0" max="13" min="13" style="0" width="9"/>
    <col collapsed="false" customWidth="true" hidden="false" outlineLevel="0" max="14" min="14" style="0" width="10"/>
    <col collapsed="false" customWidth="true" hidden="false" outlineLevel="0" max="15" min="15" style="0" width="12"/>
    <col collapsed="false" customWidth="true" hidden="false" outlineLevel="0" max="18" min="16" style="0" width="11"/>
    <col collapsed="false" customWidth="true" hidden="false" outlineLevel="0" max="19" min="19" style="0" width="34"/>
  </cols>
  <sheetData>
    <row r="1" customFormat="false" ht="22.05" hidden="false" customHeight="false" outlineLevel="0" collapsed="false">
      <c r="A1" s="29" t="s">
        <v>389</v>
      </c>
    </row>
    <row r="2" customFormat="false" ht="15" hidden="false" customHeight="false" outlineLevel="0" collapsed="false">
      <c r="A2" s="30" t="s">
        <v>390</v>
      </c>
    </row>
    <row r="3" customFormat="false" ht="15" hidden="false" customHeight="false" outlineLevel="0" collapsed="false">
      <c r="A3" s="25" t="s">
        <v>391</v>
      </c>
    </row>
    <row r="5" customFormat="false" ht="36" hidden="false" customHeight="true" outlineLevel="0" collapsed="false">
      <c r="A5" s="18" t="s">
        <v>392</v>
      </c>
      <c r="B5" s="18" t="s">
        <v>227</v>
      </c>
      <c r="C5" s="18" t="s">
        <v>393</v>
      </c>
      <c r="D5" s="18" t="s">
        <v>394</v>
      </c>
      <c r="E5" s="18" t="s">
        <v>121</v>
      </c>
      <c r="F5" s="18" t="s">
        <v>309</v>
      </c>
      <c r="G5" s="18" t="s">
        <v>313</v>
      </c>
      <c r="H5" s="18" t="s">
        <v>317</v>
      </c>
      <c r="I5" s="18" t="s">
        <v>395</v>
      </c>
      <c r="J5" s="18" t="s">
        <v>396</v>
      </c>
      <c r="K5" s="18" t="s">
        <v>397</v>
      </c>
      <c r="L5" s="18" t="s">
        <v>398</v>
      </c>
      <c r="M5" s="18" t="s">
        <v>99</v>
      </c>
      <c r="N5" s="18" t="s">
        <v>399</v>
      </c>
      <c r="O5" s="18" t="s">
        <v>400</v>
      </c>
      <c r="P5" s="18" t="s">
        <v>330</v>
      </c>
      <c r="Q5" s="18" t="s">
        <v>401</v>
      </c>
      <c r="R5" s="18" t="s">
        <v>402</v>
      </c>
      <c r="S5" s="18" t="s">
        <v>124</v>
      </c>
    </row>
    <row r="6" customFormat="false" ht="27.75" hidden="false" customHeight="true" outlineLevel="0" collapsed="false">
      <c r="A6" s="35" t="s">
        <v>403</v>
      </c>
      <c r="B6" s="36" t="s">
        <v>404</v>
      </c>
      <c r="C6" s="42" t="n">
        <v>46065</v>
      </c>
      <c r="D6" s="36" t="s">
        <v>405</v>
      </c>
      <c r="E6" s="36" t="s">
        <v>34</v>
      </c>
      <c r="F6" s="43" t="n">
        <v>1200</v>
      </c>
      <c r="G6" s="43" t="n">
        <v>300</v>
      </c>
      <c r="H6" s="43" t="n">
        <v>200</v>
      </c>
      <c r="I6" s="43" t="n">
        <v>100</v>
      </c>
      <c r="J6" s="28" t="n">
        <f aca="false">IF(COUNT(F6:I6)=0,"",SUM(F6:I6))</f>
        <v>1800</v>
      </c>
      <c r="K6" s="43" t="n">
        <v>1650</v>
      </c>
      <c r="L6" s="47" t="n">
        <v>22</v>
      </c>
      <c r="M6" s="47" t="n">
        <v>6</v>
      </c>
      <c r="N6" s="47" t="n">
        <v>2</v>
      </c>
      <c r="O6" s="43" t="n">
        <v>9500</v>
      </c>
      <c r="P6" s="61" t="n">
        <f aca="false">IF(N(L6)=0,"",N(IF(N(K6)&gt;0,K6,J6))/L6)</f>
        <v>75</v>
      </c>
      <c r="Q6" s="54" t="n">
        <f aca="false">IF(OR(N(O6)=0,N(IF(N(K6)&gt;0,K6,J6))=0),"",(O6-IF(N(K6)&gt;0,K6,J6))/IF(N(K6)&gt;0,K6,J6))</f>
        <v>4.75757575757576</v>
      </c>
      <c r="R6" s="36" t="s">
        <v>406</v>
      </c>
      <c r="S6" s="35" t="s">
        <v>407</v>
      </c>
    </row>
    <row r="7" customFormat="false" ht="27.75" hidden="false" customHeight="true" outlineLevel="0" collapsed="false">
      <c r="A7" s="35" t="s">
        <v>247</v>
      </c>
      <c r="B7" s="36" t="s">
        <v>404</v>
      </c>
      <c r="C7" s="42" t="n">
        <v>46464</v>
      </c>
      <c r="D7" s="36" t="s">
        <v>405</v>
      </c>
      <c r="E7" s="36" t="s">
        <v>408</v>
      </c>
      <c r="F7" s="43" t="n">
        <v>5900</v>
      </c>
      <c r="G7" s="43" t="n">
        <v>1500</v>
      </c>
      <c r="H7" s="43" t="n">
        <v>950</v>
      </c>
      <c r="I7" s="43" t="n">
        <v>1150</v>
      </c>
      <c r="J7" s="28" t="n">
        <f aca="false">IF(COUNT(F7:I7)=0,"",SUM(F7:I7))</f>
        <v>9500</v>
      </c>
      <c r="K7" s="43"/>
      <c r="L7" s="47"/>
      <c r="M7" s="47"/>
      <c r="N7" s="47"/>
      <c r="O7" s="43"/>
      <c r="P7" s="61" t="str">
        <f aca="false">IF(N(L7)=0,"",N(IF(N(K7)&gt;0,K7,J7))/L7)</f>
        <v/>
      </c>
      <c r="Q7" s="54" t="str">
        <f aca="false">IF(OR(N(O7)=0,N(IF(N(K7)&gt;0,K7,J7))=0),"",(O7-IF(N(K7)&gt;0,K7,J7))/IF(N(K7)&gt;0,K7,J7))</f>
        <v/>
      </c>
      <c r="R7" s="36"/>
      <c r="S7" s="35" t="s">
        <v>409</v>
      </c>
    </row>
    <row r="8" customFormat="false" ht="27.75" hidden="false" customHeight="true" outlineLevel="0" collapsed="false">
      <c r="A8" s="35" t="s">
        <v>410</v>
      </c>
      <c r="B8" s="36" t="s">
        <v>404</v>
      </c>
      <c r="C8" s="42" t="n">
        <v>46148</v>
      </c>
      <c r="D8" s="36" t="s">
        <v>405</v>
      </c>
      <c r="E8" s="36" t="s">
        <v>34</v>
      </c>
      <c r="F8" s="43" t="n">
        <v>2500</v>
      </c>
      <c r="G8" s="43" t="n">
        <v>400</v>
      </c>
      <c r="H8" s="43" t="n">
        <v>300</v>
      </c>
      <c r="I8" s="43" t="n">
        <v>900</v>
      </c>
      <c r="J8" s="28" t="n">
        <f aca="false">IF(COUNT(F8:I8)=0,"",SUM(F8:I8))</f>
        <v>4100</v>
      </c>
      <c r="K8" s="43" t="n">
        <v>4300</v>
      </c>
      <c r="L8" s="47" t="n">
        <v>18</v>
      </c>
      <c r="M8" s="47" t="n">
        <v>4</v>
      </c>
      <c r="N8" s="47" t="n">
        <v>1</v>
      </c>
      <c r="O8" s="43" t="n">
        <v>6000</v>
      </c>
      <c r="P8" s="61" t="n">
        <f aca="false">IF(N(L8)=0,"",N(IF(N(K8)&gt;0,K8,J8))/L8)</f>
        <v>238.888888888889</v>
      </c>
      <c r="Q8" s="54" t="n">
        <f aca="false">IF(OR(N(O8)=0,N(IF(N(K8)&gt;0,K8,J8))=0),"",(O8-IF(N(K8)&gt;0,K8,J8))/IF(N(K8)&gt;0,K8,J8))</f>
        <v>0.395348837209302</v>
      </c>
      <c r="R8" s="36" t="s">
        <v>411</v>
      </c>
      <c r="S8" s="35" t="s">
        <v>412</v>
      </c>
    </row>
    <row r="9" customFormat="false" ht="27.75" hidden="false" customHeight="true" outlineLevel="0" collapsed="false">
      <c r="A9" s="35" t="s">
        <v>413</v>
      </c>
      <c r="B9" s="36" t="s">
        <v>404</v>
      </c>
      <c r="C9" s="42" t="n">
        <v>46193</v>
      </c>
      <c r="D9" s="36" t="s">
        <v>414</v>
      </c>
      <c r="E9" s="36" t="s">
        <v>34</v>
      </c>
      <c r="F9" s="43" t="n">
        <v>750</v>
      </c>
      <c r="G9" s="43" t="n">
        <v>0</v>
      </c>
      <c r="H9" s="43" t="n">
        <v>400</v>
      </c>
      <c r="I9" s="43" t="n">
        <v>150</v>
      </c>
      <c r="J9" s="28" t="n">
        <f aca="false">IF(COUNT(F9:I9)=0,"",SUM(F9:I9))</f>
        <v>1300</v>
      </c>
      <c r="K9" s="43" t="n">
        <v>1300</v>
      </c>
      <c r="L9" s="47" t="n">
        <v>9</v>
      </c>
      <c r="M9" s="47" t="n">
        <v>5</v>
      </c>
      <c r="N9" s="47" t="n">
        <v>2</v>
      </c>
      <c r="O9" s="43" t="n">
        <v>14000</v>
      </c>
      <c r="P9" s="61" t="n">
        <f aca="false">IF(N(L9)=0,"",N(IF(N(K9)&gt;0,K9,J9))/L9)</f>
        <v>144.444444444444</v>
      </c>
      <c r="Q9" s="54" t="n">
        <f aca="false">IF(OR(N(O9)=0,N(IF(N(K9)&gt;0,K9,J9))=0),"",(O9-IF(N(K9)&gt;0,K9,J9))/IF(N(K9)&gt;0,K9,J9))</f>
        <v>9.76923076923077</v>
      </c>
      <c r="R9" s="36" t="s">
        <v>406</v>
      </c>
      <c r="S9" s="35" t="s">
        <v>415</v>
      </c>
    </row>
    <row r="10" customFormat="false" ht="27.75" hidden="false" customHeight="true" outlineLevel="0" collapsed="false">
      <c r="A10" s="35" t="s">
        <v>416</v>
      </c>
      <c r="B10" s="36" t="s">
        <v>404</v>
      </c>
      <c r="C10" s="42" t="n">
        <v>46291</v>
      </c>
      <c r="D10" s="36" t="s">
        <v>417</v>
      </c>
      <c r="E10" s="36" t="s">
        <v>34</v>
      </c>
      <c r="F10" s="43" t="n">
        <v>300</v>
      </c>
      <c r="G10" s="43" t="n">
        <v>100</v>
      </c>
      <c r="H10" s="43" t="n">
        <v>250</v>
      </c>
      <c r="I10" s="43" t="n">
        <v>0</v>
      </c>
      <c r="J10" s="28" t="n">
        <f aca="false">IF(COUNT(F10:I10)=0,"",SUM(F10:I10))</f>
        <v>650</v>
      </c>
      <c r="K10" s="43" t="n">
        <v>700</v>
      </c>
      <c r="L10" s="47" t="n">
        <v>30</v>
      </c>
      <c r="M10" s="47" t="n">
        <v>2</v>
      </c>
      <c r="N10" s="47" t="n">
        <v>1</v>
      </c>
      <c r="O10" s="43" t="n">
        <v>3500</v>
      </c>
      <c r="P10" s="61" t="n">
        <f aca="false">IF(N(L10)=0,"",N(IF(N(K10)&gt;0,K10,J10))/L10)</f>
        <v>23.3333333333333</v>
      </c>
      <c r="Q10" s="54" t="n">
        <f aca="false">IF(OR(N(O10)=0,N(IF(N(K10)&gt;0,K10,J10))=0),"",(O10-IF(N(K10)&gt;0,K10,J10))/IF(N(K10)&gt;0,K10,J10))</f>
        <v>4</v>
      </c>
      <c r="R10" s="36" t="s">
        <v>406</v>
      </c>
      <c r="S10" s="35" t="s">
        <v>418</v>
      </c>
    </row>
    <row r="11" customFormat="false" ht="27.75" hidden="false" customHeight="true" outlineLevel="0" collapsed="false">
      <c r="A11" s="35" t="s">
        <v>419</v>
      </c>
      <c r="B11" s="36" t="s">
        <v>404</v>
      </c>
      <c r="C11" s="42" t="n">
        <v>46338</v>
      </c>
      <c r="D11" s="36" t="s">
        <v>420</v>
      </c>
      <c r="E11" s="36" t="s">
        <v>421</v>
      </c>
      <c r="F11" s="43" t="n">
        <v>0</v>
      </c>
      <c r="G11" s="43" t="n">
        <v>300</v>
      </c>
      <c r="H11" s="43" t="n">
        <v>100</v>
      </c>
      <c r="I11" s="43" t="n">
        <v>400</v>
      </c>
      <c r="J11" s="28" t="n">
        <f aca="false">IF(COUNT(F11:I11)=0,"",SUM(F11:I11))</f>
        <v>800</v>
      </c>
      <c r="K11" s="43"/>
      <c r="L11" s="47"/>
      <c r="M11" s="47"/>
      <c r="N11" s="47"/>
      <c r="O11" s="43"/>
      <c r="P11" s="61" t="str">
        <f aca="false">IF(N(L11)=0,"",N(IF(N(K11)&gt;0,K11,J11))/L11)</f>
        <v/>
      </c>
      <c r="Q11" s="54" t="str">
        <f aca="false">IF(OR(N(O11)=0,N(IF(N(K11)&gt;0,K11,J11))=0),"",(O11-IF(N(K11)&gt;0,K11,J11))/IF(N(K11)&gt;0,K11,J11))</f>
        <v/>
      </c>
      <c r="R11" s="36"/>
      <c r="S11" s="35" t="s">
        <v>422</v>
      </c>
    </row>
    <row r="12" customFormat="false" ht="27.75" hidden="false" customHeight="true" outlineLevel="0" collapsed="false">
      <c r="A12" s="35" t="s">
        <v>423</v>
      </c>
      <c r="B12" s="36" t="s">
        <v>404</v>
      </c>
      <c r="C12" s="42" t="n">
        <v>46360</v>
      </c>
      <c r="D12" s="36" t="s">
        <v>424</v>
      </c>
      <c r="E12" s="36" t="s">
        <v>425</v>
      </c>
      <c r="F12" s="43" t="n">
        <v>150</v>
      </c>
      <c r="G12" s="43" t="n">
        <v>0</v>
      </c>
      <c r="H12" s="43" t="n">
        <v>0</v>
      </c>
      <c r="I12" s="43" t="n">
        <v>50</v>
      </c>
      <c r="J12" s="28" t="n">
        <f aca="false">IF(COUNT(F12:I12)=0,"",SUM(F12:I12))</f>
        <v>200</v>
      </c>
      <c r="K12" s="43"/>
      <c r="L12" s="47"/>
      <c r="M12" s="47"/>
      <c r="N12" s="47"/>
      <c r="O12" s="43"/>
      <c r="P12" s="61" t="str">
        <f aca="false">IF(N(L12)=0,"",N(IF(N(K12)&gt;0,K12,J12))/L12)</f>
        <v/>
      </c>
      <c r="Q12" s="54" t="str">
        <f aca="false">IF(OR(N(O12)=0,N(IF(N(K12)&gt;0,K12,J12))=0),"",(O12-IF(N(K12)&gt;0,K12,J12))/IF(N(K12)&gt;0,K12,J12))</f>
        <v/>
      </c>
      <c r="R12" s="36"/>
      <c r="S12" s="35"/>
    </row>
    <row r="13" customFormat="false" ht="15" hidden="false" customHeight="true" outlineLevel="0" collapsed="false">
      <c r="A13" s="35"/>
      <c r="B13" s="36"/>
      <c r="C13" s="42"/>
      <c r="D13" s="36"/>
      <c r="E13" s="36"/>
      <c r="F13" s="43"/>
      <c r="G13" s="43"/>
      <c r="H13" s="43"/>
      <c r="I13" s="43"/>
      <c r="J13" s="28" t="str">
        <f aca="false">IF(COUNT(F13:I13)=0,"",SUM(F13:I13))</f>
        <v/>
      </c>
      <c r="K13" s="43"/>
      <c r="L13" s="47"/>
      <c r="M13" s="47"/>
      <c r="N13" s="47"/>
      <c r="O13" s="43"/>
      <c r="P13" s="61" t="str">
        <f aca="false">IF(N(L13)=0,"",N(IF(N(K13)&gt;0,K13,J13))/L13)</f>
        <v/>
      </c>
      <c r="Q13" s="54" t="str">
        <f aca="false">IF(OR(N(O13)=0,N(IF(N(K13)&gt;0,K13,J13))=0),"",(O13-IF(N(K13)&gt;0,K13,J13))/IF(N(K13)&gt;0,K13,J13))</f>
        <v/>
      </c>
      <c r="R13" s="36"/>
      <c r="S13" s="35"/>
    </row>
    <row r="14" customFormat="false" ht="15" hidden="false" customHeight="true" outlineLevel="0" collapsed="false">
      <c r="A14" s="35"/>
      <c r="B14" s="36"/>
      <c r="C14" s="42"/>
      <c r="D14" s="36"/>
      <c r="E14" s="36"/>
      <c r="F14" s="43"/>
      <c r="G14" s="43"/>
      <c r="H14" s="43"/>
      <c r="I14" s="43"/>
      <c r="J14" s="28" t="str">
        <f aca="false">IF(COUNT(F14:I14)=0,"",SUM(F14:I14))</f>
        <v/>
      </c>
      <c r="K14" s="43"/>
      <c r="L14" s="47"/>
      <c r="M14" s="47"/>
      <c r="N14" s="47"/>
      <c r="O14" s="43"/>
      <c r="P14" s="61" t="str">
        <f aca="false">IF(N(L14)=0,"",N(IF(N(K14)&gt;0,K14,J14))/L14)</f>
        <v/>
      </c>
      <c r="Q14" s="54" t="str">
        <f aca="false">IF(OR(N(O14)=0,N(IF(N(K14)&gt;0,K14,J14))=0),"",(O14-IF(N(K14)&gt;0,K14,J14))/IF(N(K14)&gt;0,K14,J14))</f>
        <v/>
      </c>
      <c r="R14" s="36"/>
      <c r="S14" s="35"/>
    </row>
    <row r="15" customFormat="false" ht="15" hidden="false" customHeight="true" outlineLevel="0" collapsed="false">
      <c r="A15" s="35"/>
      <c r="B15" s="36"/>
      <c r="C15" s="42"/>
      <c r="D15" s="36"/>
      <c r="E15" s="36"/>
      <c r="F15" s="43"/>
      <c r="G15" s="43"/>
      <c r="H15" s="43"/>
      <c r="I15" s="43"/>
      <c r="J15" s="28" t="str">
        <f aca="false">IF(COUNT(F15:I15)=0,"",SUM(F15:I15))</f>
        <v/>
      </c>
      <c r="K15" s="43"/>
      <c r="L15" s="47"/>
      <c r="M15" s="47"/>
      <c r="N15" s="47"/>
      <c r="O15" s="43"/>
      <c r="P15" s="61" t="str">
        <f aca="false">IF(N(L15)=0,"",N(IF(N(K15)&gt;0,K15,J15))/L15)</f>
        <v/>
      </c>
      <c r="Q15" s="54" t="str">
        <f aca="false">IF(OR(N(O15)=0,N(IF(N(K15)&gt;0,K15,J15))=0),"",(O15-IF(N(K15)&gt;0,K15,J15))/IF(N(K15)&gt;0,K15,J15))</f>
        <v/>
      </c>
      <c r="R15" s="36"/>
      <c r="S15" s="35"/>
    </row>
    <row r="16" customFormat="false" ht="15" hidden="false" customHeight="true" outlineLevel="0" collapsed="false">
      <c r="A16" s="35"/>
      <c r="B16" s="36"/>
      <c r="C16" s="42"/>
      <c r="D16" s="36"/>
      <c r="E16" s="36"/>
      <c r="F16" s="43"/>
      <c r="G16" s="43"/>
      <c r="H16" s="43"/>
      <c r="I16" s="43"/>
      <c r="J16" s="28" t="str">
        <f aca="false">IF(COUNT(F16:I16)=0,"",SUM(F16:I16))</f>
        <v/>
      </c>
      <c r="K16" s="43"/>
      <c r="L16" s="47"/>
      <c r="M16" s="47"/>
      <c r="N16" s="47"/>
      <c r="O16" s="43"/>
      <c r="P16" s="61" t="str">
        <f aca="false">IF(N(L16)=0,"",N(IF(N(K16)&gt;0,K16,J16))/L16)</f>
        <v/>
      </c>
      <c r="Q16" s="54" t="str">
        <f aca="false">IF(OR(N(O16)=0,N(IF(N(K16)&gt;0,K16,J16))=0),"",(O16-IF(N(K16)&gt;0,K16,J16))/IF(N(K16)&gt;0,K16,J16))</f>
        <v/>
      </c>
      <c r="R16" s="36"/>
      <c r="S16" s="35"/>
    </row>
    <row r="17" customFormat="false" ht="15" hidden="false" customHeight="true" outlineLevel="0" collapsed="false">
      <c r="A17" s="35"/>
      <c r="B17" s="36"/>
      <c r="C17" s="42"/>
      <c r="D17" s="36"/>
      <c r="E17" s="36"/>
      <c r="F17" s="43"/>
      <c r="G17" s="43"/>
      <c r="H17" s="43"/>
      <c r="I17" s="43"/>
      <c r="J17" s="28" t="str">
        <f aca="false">IF(COUNT(F17:I17)=0,"",SUM(F17:I17))</f>
        <v/>
      </c>
      <c r="K17" s="43"/>
      <c r="L17" s="47"/>
      <c r="M17" s="47"/>
      <c r="N17" s="47"/>
      <c r="O17" s="43"/>
      <c r="P17" s="61" t="str">
        <f aca="false">IF(N(L17)=0,"",N(IF(N(K17)&gt;0,K17,J17))/L17)</f>
        <v/>
      </c>
      <c r="Q17" s="54" t="str">
        <f aca="false">IF(OR(N(O17)=0,N(IF(N(K17)&gt;0,K17,J17))=0),"",(O17-IF(N(K17)&gt;0,K17,J17))/IF(N(K17)&gt;0,K17,J17))</f>
        <v/>
      </c>
      <c r="R17" s="36"/>
      <c r="S17" s="35"/>
    </row>
    <row r="18" customFormat="false" ht="15" hidden="false" customHeight="true" outlineLevel="0" collapsed="false">
      <c r="A18" s="35"/>
      <c r="B18" s="36"/>
      <c r="C18" s="42"/>
      <c r="D18" s="36"/>
      <c r="E18" s="36"/>
      <c r="F18" s="43"/>
      <c r="G18" s="43"/>
      <c r="H18" s="43"/>
      <c r="I18" s="43"/>
      <c r="J18" s="28" t="str">
        <f aca="false">IF(COUNT(F18:I18)=0,"",SUM(F18:I18))</f>
        <v/>
      </c>
      <c r="K18" s="43"/>
      <c r="L18" s="47"/>
      <c r="M18" s="47"/>
      <c r="N18" s="47"/>
      <c r="O18" s="43"/>
      <c r="P18" s="61" t="str">
        <f aca="false">IF(N(L18)=0,"",N(IF(N(K18)&gt;0,K18,J18))/L18)</f>
        <v/>
      </c>
      <c r="Q18" s="54" t="str">
        <f aca="false">IF(OR(N(O18)=0,N(IF(N(K18)&gt;0,K18,J18))=0),"",(O18-IF(N(K18)&gt;0,K18,J18))/IF(N(K18)&gt;0,K18,J18))</f>
        <v/>
      </c>
      <c r="R18" s="36"/>
      <c r="S18" s="35"/>
    </row>
    <row r="19" customFormat="false" ht="15" hidden="false" customHeight="true" outlineLevel="0" collapsed="false">
      <c r="A19" s="35"/>
      <c r="B19" s="36"/>
      <c r="C19" s="42"/>
      <c r="D19" s="36"/>
      <c r="E19" s="36"/>
      <c r="F19" s="43"/>
      <c r="G19" s="43"/>
      <c r="H19" s="43"/>
      <c r="I19" s="43"/>
      <c r="J19" s="28" t="str">
        <f aca="false">IF(COUNT(F19:I19)=0,"",SUM(F19:I19))</f>
        <v/>
      </c>
      <c r="K19" s="43"/>
      <c r="L19" s="47"/>
      <c r="M19" s="47"/>
      <c r="N19" s="47"/>
      <c r="O19" s="43"/>
      <c r="P19" s="61" t="str">
        <f aca="false">IF(N(L19)=0,"",N(IF(N(K19)&gt;0,K19,J19))/L19)</f>
        <v/>
      </c>
      <c r="Q19" s="54" t="str">
        <f aca="false">IF(OR(N(O19)=0,N(IF(N(K19)&gt;0,K19,J19))=0),"",(O19-IF(N(K19)&gt;0,K19,J19))/IF(N(K19)&gt;0,K19,J19))</f>
        <v/>
      </c>
      <c r="R19" s="36"/>
      <c r="S19" s="35"/>
    </row>
    <row r="20" customFormat="false" ht="15" hidden="false" customHeight="true" outlineLevel="0" collapsed="false">
      <c r="A20" s="35"/>
      <c r="B20" s="36"/>
      <c r="C20" s="42"/>
      <c r="D20" s="36"/>
      <c r="E20" s="36"/>
      <c r="F20" s="43"/>
      <c r="G20" s="43"/>
      <c r="H20" s="43"/>
      <c r="I20" s="43"/>
      <c r="J20" s="28" t="str">
        <f aca="false">IF(COUNT(F20:I20)=0,"",SUM(F20:I20))</f>
        <v/>
      </c>
      <c r="K20" s="43"/>
      <c r="L20" s="47"/>
      <c r="M20" s="47"/>
      <c r="N20" s="47"/>
      <c r="O20" s="43"/>
      <c r="P20" s="61" t="str">
        <f aca="false">IF(N(L20)=0,"",N(IF(N(K20)&gt;0,K20,J20))/L20)</f>
        <v/>
      </c>
      <c r="Q20" s="54" t="str">
        <f aca="false">IF(OR(N(O20)=0,N(IF(N(K20)&gt;0,K20,J20))=0),"",(O20-IF(N(K20)&gt;0,K20,J20))/IF(N(K20)&gt;0,K20,J20))</f>
        <v/>
      </c>
      <c r="R20" s="36"/>
      <c r="S20" s="35"/>
    </row>
    <row r="21" customFormat="false" ht="15" hidden="false" customHeight="true" outlineLevel="0" collapsed="false">
      <c r="A21" s="35"/>
      <c r="B21" s="36"/>
      <c r="C21" s="42"/>
      <c r="D21" s="36"/>
      <c r="E21" s="36"/>
      <c r="F21" s="43"/>
      <c r="G21" s="43"/>
      <c r="H21" s="43"/>
      <c r="I21" s="43"/>
      <c r="J21" s="28" t="str">
        <f aca="false">IF(COUNT(F21:I21)=0,"",SUM(F21:I21))</f>
        <v/>
      </c>
      <c r="K21" s="43"/>
      <c r="L21" s="47"/>
      <c r="M21" s="47"/>
      <c r="N21" s="47"/>
      <c r="O21" s="43"/>
      <c r="P21" s="61" t="str">
        <f aca="false">IF(N(L21)=0,"",N(IF(N(K21)&gt;0,K21,J21))/L21)</f>
        <v/>
      </c>
      <c r="Q21" s="54" t="str">
        <f aca="false">IF(OR(N(O21)=0,N(IF(N(K21)&gt;0,K21,J21))=0),"",(O21-IF(N(K21)&gt;0,K21,J21))/IF(N(K21)&gt;0,K21,J21))</f>
        <v/>
      </c>
      <c r="R21" s="36"/>
      <c r="S21" s="35"/>
    </row>
    <row r="22" customFormat="false" ht="15" hidden="false" customHeight="true" outlineLevel="0" collapsed="false">
      <c r="A22" s="35"/>
      <c r="B22" s="36"/>
      <c r="C22" s="42"/>
      <c r="D22" s="36"/>
      <c r="E22" s="36"/>
      <c r="F22" s="43"/>
      <c r="G22" s="43"/>
      <c r="H22" s="43"/>
      <c r="I22" s="43"/>
      <c r="J22" s="28" t="str">
        <f aca="false">IF(COUNT(F22:I22)=0,"",SUM(F22:I22))</f>
        <v/>
      </c>
      <c r="K22" s="43"/>
      <c r="L22" s="47"/>
      <c r="M22" s="47"/>
      <c r="N22" s="47"/>
      <c r="O22" s="43"/>
      <c r="P22" s="61" t="str">
        <f aca="false">IF(N(L22)=0,"",N(IF(N(K22)&gt;0,K22,J22))/L22)</f>
        <v/>
      </c>
      <c r="Q22" s="54" t="str">
        <f aca="false">IF(OR(N(O22)=0,N(IF(N(K22)&gt;0,K22,J22))=0),"",(O22-IF(N(K22)&gt;0,K22,J22))/IF(N(K22)&gt;0,K22,J22))</f>
        <v/>
      </c>
      <c r="R22" s="36"/>
      <c r="S22" s="35"/>
    </row>
    <row r="23" customFormat="false" ht="15" hidden="false" customHeight="true" outlineLevel="0" collapsed="false">
      <c r="A23" s="35"/>
      <c r="B23" s="36"/>
      <c r="C23" s="42"/>
      <c r="D23" s="36"/>
      <c r="E23" s="36"/>
      <c r="F23" s="43"/>
      <c r="G23" s="43"/>
      <c r="H23" s="43"/>
      <c r="I23" s="43"/>
      <c r="J23" s="28" t="str">
        <f aca="false">IF(COUNT(F23:I23)=0,"",SUM(F23:I23))</f>
        <v/>
      </c>
      <c r="K23" s="43"/>
      <c r="L23" s="47"/>
      <c r="M23" s="47"/>
      <c r="N23" s="47"/>
      <c r="O23" s="43"/>
      <c r="P23" s="61" t="str">
        <f aca="false">IF(N(L23)=0,"",N(IF(N(K23)&gt;0,K23,J23))/L23)</f>
        <v/>
      </c>
      <c r="Q23" s="54" t="str">
        <f aca="false">IF(OR(N(O23)=0,N(IF(N(K23)&gt;0,K23,J23))=0),"",(O23-IF(N(K23)&gt;0,K23,J23))/IF(N(K23)&gt;0,K23,J23))</f>
        <v/>
      </c>
      <c r="R23" s="36"/>
      <c r="S23" s="35"/>
    </row>
    <row r="24" customFormat="false" ht="15" hidden="false" customHeight="true" outlineLevel="0" collapsed="false">
      <c r="A24" s="35"/>
      <c r="B24" s="36"/>
      <c r="C24" s="42"/>
      <c r="D24" s="36"/>
      <c r="E24" s="36"/>
      <c r="F24" s="43"/>
      <c r="G24" s="43"/>
      <c r="H24" s="43"/>
      <c r="I24" s="43"/>
      <c r="J24" s="28" t="str">
        <f aca="false">IF(COUNT(F24:I24)=0,"",SUM(F24:I24))</f>
        <v/>
      </c>
      <c r="K24" s="43"/>
      <c r="L24" s="47"/>
      <c r="M24" s="47"/>
      <c r="N24" s="47"/>
      <c r="O24" s="43"/>
      <c r="P24" s="61" t="str">
        <f aca="false">IF(N(L24)=0,"",N(IF(N(K24)&gt;0,K24,J24))/L24)</f>
        <v/>
      </c>
      <c r="Q24" s="54" t="str">
        <f aca="false">IF(OR(N(O24)=0,N(IF(N(K24)&gt;0,K24,J24))=0),"",(O24-IF(N(K24)&gt;0,K24,J24))/IF(N(K24)&gt;0,K24,J24))</f>
        <v/>
      </c>
      <c r="R24" s="36"/>
      <c r="S24" s="35"/>
    </row>
    <row r="25" customFormat="false" ht="15" hidden="false" customHeight="true" outlineLevel="0" collapsed="false">
      <c r="A25" s="35"/>
      <c r="B25" s="36"/>
      <c r="C25" s="42"/>
      <c r="D25" s="36"/>
      <c r="E25" s="36"/>
      <c r="F25" s="43"/>
      <c r="G25" s="43"/>
      <c r="H25" s="43"/>
      <c r="I25" s="43"/>
      <c r="J25" s="28" t="str">
        <f aca="false">IF(COUNT(F25:I25)=0,"",SUM(F25:I25))</f>
        <v/>
      </c>
      <c r="K25" s="43"/>
      <c r="L25" s="47"/>
      <c r="M25" s="47"/>
      <c r="N25" s="47"/>
      <c r="O25" s="43"/>
      <c r="P25" s="61" t="str">
        <f aca="false">IF(N(L25)=0,"",N(IF(N(K25)&gt;0,K25,J25))/L25)</f>
        <v/>
      </c>
      <c r="Q25" s="54" t="str">
        <f aca="false">IF(OR(N(O25)=0,N(IF(N(K25)&gt;0,K25,J25))=0),"",(O25-IF(N(K25)&gt;0,K25,J25))/IF(N(K25)&gt;0,K25,J25))</f>
        <v/>
      </c>
      <c r="R25" s="36"/>
      <c r="S25" s="35"/>
    </row>
    <row r="26" customFormat="false" ht="15" hidden="false" customHeight="true" outlineLevel="0" collapsed="false">
      <c r="A26" s="35"/>
      <c r="B26" s="36"/>
      <c r="C26" s="42"/>
      <c r="D26" s="36"/>
      <c r="E26" s="36"/>
      <c r="F26" s="43"/>
      <c r="G26" s="43"/>
      <c r="H26" s="43"/>
      <c r="I26" s="43"/>
      <c r="J26" s="28" t="str">
        <f aca="false">IF(COUNT(F26:I26)=0,"",SUM(F26:I26))</f>
        <v/>
      </c>
      <c r="K26" s="43"/>
      <c r="L26" s="47"/>
      <c r="M26" s="47"/>
      <c r="N26" s="47"/>
      <c r="O26" s="43"/>
      <c r="P26" s="61" t="str">
        <f aca="false">IF(N(L26)=0,"",N(IF(N(K26)&gt;0,K26,J26))/L26)</f>
        <v/>
      </c>
      <c r="Q26" s="54" t="str">
        <f aca="false">IF(OR(N(O26)=0,N(IF(N(K26)&gt;0,K26,J26))=0),"",(O26-IF(N(K26)&gt;0,K26,J26))/IF(N(K26)&gt;0,K26,J26))</f>
        <v/>
      </c>
      <c r="R26" s="36"/>
      <c r="S26" s="35"/>
    </row>
    <row r="27" customFormat="false" ht="15" hidden="false" customHeight="true" outlineLevel="0" collapsed="false">
      <c r="A27" s="35"/>
      <c r="B27" s="36"/>
      <c r="C27" s="42"/>
      <c r="D27" s="36"/>
      <c r="E27" s="36"/>
      <c r="F27" s="43"/>
      <c r="G27" s="43"/>
      <c r="H27" s="43"/>
      <c r="I27" s="43"/>
      <c r="J27" s="28" t="str">
        <f aca="false">IF(COUNT(F27:I27)=0,"",SUM(F27:I27))</f>
        <v/>
      </c>
      <c r="K27" s="43"/>
      <c r="L27" s="47"/>
      <c r="M27" s="47"/>
      <c r="N27" s="47"/>
      <c r="O27" s="43"/>
      <c r="P27" s="61" t="str">
        <f aca="false">IF(N(L27)=0,"",N(IF(N(K27)&gt;0,K27,J27))/L27)</f>
        <v/>
      </c>
      <c r="Q27" s="54" t="str">
        <f aca="false">IF(OR(N(O27)=0,N(IF(N(K27)&gt;0,K27,J27))=0),"",(O27-IF(N(K27)&gt;0,K27,J27))/IF(N(K27)&gt;0,K27,J27))</f>
        <v/>
      </c>
      <c r="R27" s="36"/>
      <c r="S27" s="35"/>
    </row>
    <row r="28" customFormat="false" ht="15" hidden="false" customHeight="true" outlineLevel="0" collapsed="false">
      <c r="A28" s="35"/>
      <c r="B28" s="36"/>
      <c r="C28" s="42"/>
      <c r="D28" s="36"/>
      <c r="E28" s="36"/>
      <c r="F28" s="43"/>
      <c r="G28" s="43"/>
      <c r="H28" s="43"/>
      <c r="I28" s="43"/>
      <c r="J28" s="28" t="str">
        <f aca="false">IF(COUNT(F28:I28)=0,"",SUM(F28:I28))</f>
        <v/>
      </c>
      <c r="K28" s="43"/>
      <c r="L28" s="47"/>
      <c r="M28" s="47"/>
      <c r="N28" s="47"/>
      <c r="O28" s="43"/>
      <c r="P28" s="61" t="str">
        <f aca="false">IF(N(L28)=0,"",N(IF(N(K28)&gt;0,K28,J28))/L28)</f>
        <v/>
      </c>
      <c r="Q28" s="54" t="str">
        <f aca="false">IF(OR(N(O28)=0,N(IF(N(K28)&gt;0,K28,J28))=0),"",(O28-IF(N(K28)&gt;0,K28,J28))/IF(N(K28)&gt;0,K28,J28))</f>
        <v/>
      </c>
      <c r="R28" s="36"/>
      <c r="S28" s="35"/>
    </row>
    <row r="29" customFormat="false" ht="15" hidden="false" customHeight="true" outlineLevel="0" collapsed="false">
      <c r="A29" s="35"/>
      <c r="B29" s="36"/>
      <c r="C29" s="42"/>
      <c r="D29" s="36"/>
      <c r="E29" s="36"/>
      <c r="F29" s="43"/>
      <c r="G29" s="43"/>
      <c r="H29" s="43"/>
      <c r="I29" s="43"/>
      <c r="J29" s="28" t="str">
        <f aca="false">IF(COUNT(F29:I29)=0,"",SUM(F29:I29))</f>
        <v/>
      </c>
      <c r="K29" s="43"/>
      <c r="L29" s="47"/>
      <c r="M29" s="47"/>
      <c r="N29" s="47"/>
      <c r="O29" s="43"/>
      <c r="P29" s="61" t="str">
        <f aca="false">IF(N(L29)=0,"",N(IF(N(K29)&gt;0,K29,J29))/L29)</f>
        <v/>
      </c>
      <c r="Q29" s="54" t="str">
        <f aca="false">IF(OR(N(O29)=0,N(IF(N(K29)&gt;0,K29,J29))=0),"",(O29-IF(N(K29)&gt;0,K29,J29))/IF(N(K29)&gt;0,K29,J29))</f>
        <v/>
      </c>
      <c r="R29" s="36"/>
      <c r="S29" s="35"/>
    </row>
    <row r="30" customFormat="false" ht="15" hidden="false" customHeight="true" outlineLevel="0" collapsed="false">
      <c r="A30" s="35"/>
      <c r="B30" s="36"/>
      <c r="C30" s="42"/>
      <c r="D30" s="36"/>
      <c r="E30" s="36"/>
      <c r="F30" s="43"/>
      <c r="G30" s="43"/>
      <c r="H30" s="43"/>
      <c r="I30" s="43"/>
      <c r="J30" s="28" t="str">
        <f aca="false">IF(COUNT(F30:I30)=0,"",SUM(F30:I30))</f>
        <v/>
      </c>
      <c r="K30" s="43"/>
      <c r="L30" s="47"/>
      <c r="M30" s="47"/>
      <c r="N30" s="47"/>
      <c r="O30" s="43"/>
      <c r="P30" s="61" t="str">
        <f aca="false">IF(N(L30)=0,"",N(IF(N(K30)&gt;0,K30,J30))/L30)</f>
        <v/>
      </c>
      <c r="Q30" s="54" t="str">
        <f aca="false">IF(OR(N(O30)=0,N(IF(N(K30)&gt;0,K30,J30))=0),"",(O30-IF(N(K30)&gt;0,K30,J30))/IF(N(K30)&gt;0,K30,J30))</f>
        <v/>
      </c>
      <c r="R30" s="36"/>
      <c r="S30" s="35"/>
    </row>
    <row r="31" customFormat="false" ht="15" hidden="false" customHeight="false" outlineLevel="0" collapsed="false">
      <c r="A31" s="17" t="s">
        <v>426</v>
      </c>
      <c r="F31" s="62" t="n">
        <f aca="false">SUM(F6:F30)</f>
        <v>10800</v>
      </c>
      <c r="G31" s="62" t="n">
        <f aca="false">SUM(G6:G30)</f>
        <v>2600</v>
      </c>
      <c r="H31" s="62" t="n">
        <f aca="false">SUM(H6:H30)</f>
        <v>2200</v>
      </c>
      <c r="I31" s="62" t="n">
        <f aca="false">SUM(I6:I30)</f>
        <v>2750</v>
      </c>
      <c r="J31" s="62" t="n">
        <f aca="false">SUM(J6:J30)</f>
        <v>18350</v>
      </c>
      <c r="K31" s="62" t="n">
        <f aca="false">SUM(K6:K30)</f>
        <v>7950</v>
      </c>
      <c r="L31" s="63" t="n">
        <f aca="false">SUM(L6:L30)</f>
        <v>79</v>
      </c>
      <c r="M31" s="63" t="n">
        <f aca="false">SUM(M6:M30)</f>
        <v>17</v>
      </c>
      <c r="N31" s="63" t="n">
        <f aca="false">SUM(N6:N30)</f>
        <v>6</v>
      </c>
      <c r="O31" s="62" t="n">
        <f aca="false">SUM(O6:O30)</f>
        <v>33000</v>
      </c>
      <c r="P31" s="28" t="n">
        <f aca="false">IF(N(L31)=0,"",K31/L31)</f>
        <v>100.632911392405</v>
      </c>
    </row>
    <row r="34" customFormat="false" ht="15" hidden="false" customHeight="false" outlineLevel="0" collapsed="false">
      <c r="A34" s="33" t="s">
        <v>427</v>
      </c>
      <c r="B34" s="64"/>
      <c r="C34" s="64"/>
      <c r="D34" s="64"/>
      <c r="E34" s="64"/>
      <c r="F34" s="64"/>
      <c r="G34" s="64"/>
      <c r="H34" s="64"/>
      <c r="I34" s="64"/>
      <c r="J34" s="64"/>
      <c r="K34" s="64"/>
      <c r="L34" s="64"/>
      <c r="M34" s="64"/>
      <c r="N34" s="64"/>
    </row>
    <row r="35" customFormat="false" ht="15" hidden="false" customHeight="false" outlineLevel="0" collapsed="false">
      <c r="A35" s="17" t="s">
        <v>428</v>
      </c>
      <c r="B35" s="65" t="s">
        <v>429</v>
      </c>
      <c r="C35" s="47" t="n">
        <v>2026</v>
      </c>
    </row>
    <row r="36" customFormat="false" ht="15" hidden="false" customHeight="false" outlineLevel="0" collapsed="false">
      <c r="C36" s="66" t="n">
        <f aca="false">DATE($C$35,1,1)</f>
        <v>46023</v>
      </c>
      <c r="D36" s="66" t="n">
        <f aca="false">DATE($C$35,2,1)</f>
        <v>46054</v>
      </c>
      <c r="E36" s="66" t="n">
        <f aca="false">DATE($C$35,3,1)</f>
        <v>46082</v>
      </c>
      <c r="F36" s="66" t="n">
        <f aca="false">DATE($C$35,4,1)</f>
        <v>46113</v>
      </c>
      <c r="G36" s="66" t="n">
        <f aca="false">DATE($C$35,5,1)</f>
        <v>46143</v>
      </c>
      <c r="H36" s="66" t="n">
        <f aca="false">DATE($C$35,6,1)</f>
        <v>46174</v>
      </c>
      <c r="I36" s="66" t="n">
        <f aca="false">DATE($C$35,7,1)</f>
        <v>46204</v>
      </c>
      <c r="J36" s="66" t="n">
        <f aca="false">DATE($C$35,8,1)</f>
        <v>46235</v>
      </c>
      <c r="K36" s="66" t="n">
        <f aca="false">DATE($C$35,9,1)</f>
        <v>46266</v>
      </c>
      <c r="L36" s="66" t="n">
        <f aca="false">DATE($C$35,10,1)</f>
        <v>46296</v>
      </c>
      <c r="M36" s="66" t="n">
        <f aca="false">DATE($C$35,11,1)</f>
        <v>46327</v>
      </c>
      <c r="N36" s="66" t="n">
        <f aca="false">DATE($C$35,12,1)</f>
        <v>46357</v>
      </c>
      <c r="O36" s="17" t="s">
        <v>327</v>
      </c>
    </row>
    <row r="37" customFormat="false" ht="15" hidden="false" customHeight="false" outlineLevel="0" collapsed="false">
      <c r="A37" s="17" t="s">
        <v>430</v>
      </c>
      <c r="C37" s="61" t="n">
        <f aca="false">SUMIFS($J$6:$J$30,$C$6:$C$30,"&gt;="&amp;C36,$C$6:$C$30,"&lt;="&amp;EOMONTH(C36,0))</f>
        <v>0</v>
      </c>
      <c r="D37" s="61" t="n">
        <f aca="false">SUMIFS($J$6:$J$30,$C$6:$C$30,"&gt;="&amp;D36,$C$6:$C$30,"&lt;="&amp;EOMONTH(D36,0))</f>
        <v>1800</v>
      </c>
      <c r="E37" s="61" t="n">
        <f aca="false">SUMIFS($J$6:$J$30,$C$6:$C$30,"&gt;="&amp;E36,$C$6:$C$30,"&lt;="&amp;EOMONTH(E36,0))</f>
        <v>0</v>
      </c>
      <c r="F37" s="61" t="n">
        <f aca="false">SUMIFS($J$6:$J$30,$C$6:$C$30,"&gt;="&amp;F36,$C$6:$C$30,"&lt;="&amp;EOMONTH(F36,0))</f>
        <v>0</v>
      </c>
      <c r="G37" s="61" t="n">
        <f aca="false">SUMIFS($J$6:$J$30,$C$6:$C$30,"&gt;="&amp;G36,$C$6:$C$30,"&lt;="&amp;EOMONTH(G36,0))</f>
        <v>4100</v>
      </c>
      <c r="H37" s="61" t="n">
        <f aca="false">SUMIFS($J$6:$J$30,$C$6:$C$30,"&gt;="&amp;H36,$C$6:$C$30,"&lt;="&amp;EOMONTH(H36,0))</f>
        <v>1300</v>
      </c>
      <c r="I37" s="61" t="n">
        <f aca="false">SUMIFS($J$6:$J$30,$C$6:$C$30,"&gt;="&amp;I36,$C$6:$C$30,"&lt;="&amp;EOMONTH(I36,0))</f>
        <v>0</v>
      </c>
      <c r="J37" s="61" t="n">
        <f aca="false">SUMIFS($J$6:$J$30,$C$6:$C$30,"&gt;="&amp;J36,$C$6:$C$30,"&lt;="&amp;EOMONTH(J36,0))</f>
        <v>0</v>
      </c>
      <c r="K37" s="61" t="n">
        <f aca="false">SUMIFS($J$6:$J$30,$C$6:$C$30,"&gt;="&amp;K36,$C$6:$C$30,"&lt;="&amp;EOMONTH(K36,0))</f>
        <v>650</v>
      </c>
      <c r="L37" s="61" t="n">
        <f aca="false">SUMIFS($J$6:$J$30,$C$6:$C$30,"&gt;="&amp;L36,$C$6:$C$30,"&lt;="&amp;EOMONTH(L36,0))</f>
        <v>0</v>
      </c>
      <c r="M37" s="61" t="n">
        <f aca="false">SUMIFS($J$6:$J$30,$C$6:$C$30,"&gt;="&amp;M36,$C$6:$C$30,"&lt;="&amp;EOMONTH(M36,0))</f>
        <v>800</v>
      </c>
      <c r="N37" s="61" t="n">
        <f aca="false">SUMIFS($J$6:$J$30,$C$6:$C$30,"&gt;="&amp;N36,$C$6:$C$30,"&lt;="&amp;EOMONTH(N36,0))</f>
        <v>200</v>
      </c>
      <c r="O37" s="28" t="n">
        <f aca="false">SUM(C37:N37)</f>
        <v>8850</v>
      </c>
    </row>
    <row r="38" customFormat="false" ht="15" hidden="false" customHeight="false" outlineLevel="0" collapsed="false">
      <c r="A38" s="27" t="s">
        <v>431</v>
      </c>
      <c r="C38" s="23" t="n">
        <f aca="false">COUNTIFS($C$6:$C$30,"&gt;="&amp;C36,$C$6:$C$30,"&lt;="&amp;EOMONTH(C36,0))</f>
        <v>0</v>
      </c>
      <c r="D38" s="23" t="n">
        <f aca="false">COUNTIFS($C$6:$C$30,"&gt;="&amp;D36,$C$6:$C$30,"&lt;="&amp;EOMONTH(D36,0))</f>
        <v>1</v>
      </c>
      <c r="E38" s="23" t="n">
        <f aca="false">COUNTIFS($C$6:$C$30,"&gt;="&amp;E36,$C$6:$C$30,"&lt;="&amp;EOMONTH(E36,0))</f>
        <v>0</v>
      </c>
      <c r="F38" s="23" t="n">
        <f aca="false">COUNTIFS($C$6:$C$30,"&gt;="&amp;F36,$C$6:$C$30,"&lt;="&amp;EOMONTH(F36,0))</f>
        <v>0</v>
      </c>
      <c r="G38" s="23" t="n">
        <f aca="false">COUNTIFS($C$6:$C$30,"&gt;="&amp;G36,$C$6:$C$30,"&lt;="&amp;EOMONTH(G36,0))</f>
        <v>1</v>
      </c>
      <c r="H38" s="23" t="n">
        <f aca="false">COUNTIFS($C$6:$C$30,"&gt;="&amp;H36,$C$6:$C$30,"&lt;="&amp;EOMONTH(H36,0))</f>
        <v>1</v>
      </c>
      <c r="I38" s="23" t="n">
        <f aca="false">COUNTIFS($C$6:$C$30,"&gt;="&amp;I36,$C$6:$C$30,"&lt;="&amp;EOMONTH(I36,0))</f>
        <v>0</v>
      </c>
      <c r="J38" s="23" t="n">
        <f aca="false">COUNTIFS($C$6:$C$30,"&gt;="&amp;J36,$C$6:$C$30,"&lt;="&amp;EOMONTH(J36,0))</f>
        <v>0</v>
      </c>
      <c r="K38" s="23" t="n">
        <f aca="false">COUNTIFS($C$6:$C$30,"&gt;="&amp;K36,$C$6:$C$30,"&lt;="&amp;EOMONTH(K36,0))</f>
        <v>1</v>
      </c>
      <c r="L38" s="23" t="n">
        <f aca="false">COUNTIFS($C$6:$C$30,"&gt;="&amp;L36,$C$6:$C$30,"&lt;="&amp;EOMONTH(L36,0))</f>
        <v>0</v>
      </c>
      <c r="M38" s="23" t="n">
        <f aca="false">COUNTIFS($C$6:$C$30,"&gt;="&amp;M36,$C$6:$C$30,"&lt;="&amp;EOMONTH(M36,0))</f>
        <v>1</v>
      </c>
      <c r="N38" s="23" t="n">
        <f aca="false">COUNTIFS($C$6:$C$30,"&gt;="&amp;N36,$C$6:$C$30,"&lt;="&amp;EOMONTH(N36,0))</f>
        <v>1</v>
      </c>
    </row>
    <row r="39" customFormat="false" ht="15" hidden="false" customHeight="false" outlineLevel="0" collapsed="false">
      <c r="A39" s="25" t="s">
        <v>432</v>
      </c>
    </row>
  </sheetData>
  <conditionalFormatting sqref="E6:E30">
    <cfRule type="expression" priority="2" aboveAverage="0" equalAverage="0" bottom="0" percent="0" rank="0" text="" dxfId="1">
      <formula>$E6="Done"</formula>
    </cfRule>
    <cfRule type="expression" priority="3" aboveAverage="0" equalAverage="0" bottom="0" percent="0" rank="0" text="" dxfId="0">
      <formula>$E6="Booked"</formula>
    </cfRule>
    <cfRule type="expression" priority="4" aboveAverage="0" equalAverage="0" bottom="0" percent="0" rank="0" text="" dxfId="0">
      <formula>$E6="Planned"</formula>
    </cfRule>
    <cfRule type="expression" priority="5" aboveAverage="0" equalAverage="0" bottom="0" percent="0" rank="0" text="" dxfId="3">
      <formula>$E6="Considering"</formula>
    </cfRule>
    <cfRule type="expression" priority="6" aboveAverage="0" equalAverage="0" bottom="0" percent="0" rank="0" text="" dxfId="2">
      <formula>$E6="Skipped"</formula>
    </cfRule>
  </conditionalFormatting>
  <conditionalFormatting sqref="Q6:Q30">
    <cfRule type="expression" priority="7" aboveAverage="0" equalAverage="0" bottom="0" percent="0" rank="0" text="" dxfId="2">
      <formula>AND(ISNUMBER(Q6),Q6&lt;0)</formula>
    </cfRule>
    <cfRule type="expression" priority="8" aboveAverage="0" equalAverage="0" bottom="0" percent="0" rank="0" text="" dxfId="0">
      <formula>AND(ISNUMBER(Q6),Q6&gt;=1)</formula>
    </cfRule>
  </conditionalFormatting>
  <dataValidations count="3">
    <dataValidation allowBlank="true" errorStyle="stop" operator="between" showDropDown="false" showErrorMessage="false" showInputMessage="false" sqref="D6:D30" type="list">
      <formula1>"Trade show,Sponsorship,Networking,Hosted event,Community,Conference (attending),Virtual event"</formula1>
      <formula2>0</formula2>
    </dataValidation>
    <dataValidation allowBlank="true" errorStyle="stop" operator="between" showDropDown="false" showErrorMessage="false" showInputMessage="false" sqref="E6:E30" type="list">
      <formula1>"Considering,Booked,Planned,Done,Skipped"</formula1>
      <formula2>0</formula2>
    </dataValidation>
    <dataValidation allowBlank="true" errorStyle="stop" operator="between" showDropDown="false" showErrorMessage="false" showInputMessage="false" sqref="R6:R30" type="list">
      <formula1>"Yes,No,Maybe (with changes)"</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5" min="3" style="0" width="16"/>
    <col collapsed="false" customWidth="true" hidden="false" outlineLevel="0" max="6" min="6" style="0" width="60"/>
  </cols>
  <sheetData>
    <row r="1" customFormat="false" ht="22.05" hidden="false" customHeight="false" outlineLevel="0" collapsed="false">
      <c r="B1" s="29" t="s">
        <v>433</v>
      </c>
    </row>
    <row r="2" customFormat="false" ht="15" hidden="false" customHeight="false" outlineLevel="0" collapsed="false">
      <c r="B2" s="30" t="s">
        <v>434</v>
      </c>
    </row>
    <row r="4" customFormat="false" ht="15" hidden="false" customHeight="false" outlineLevel="0" collapsed="false">
      <c r="B4" s="26" t="s">
        <v>435</v>
      </c>
      <c r="C4" s="6"/>
      <c r="D4" s="6"/>
      <c r="E4" s="6"/>
      <c r="F4" s="6"/>
    </row>
    <row r="5" customFormat="false" ht="15" hidden="false" customHeight="false" outlineLevel="0" collapsed="false">
      <c r="B5" s="27" t="s">
        <v>436</v>
      </c>
      <c r="C5" s="43" t="n">
        <v>500</v>
      </c>
      <c r="E5" s="25" t="s">
        <v>437</v>
      </c>
    </row>
    <row r="6" customFormat="false" ht="15" hidden="false" customHeight="false" outlineLevel="0" collapsed="false">
      <c r="B6" s="27" t="s">
        <v>438</v>
      </c>
      <c r="C6" s="47" t="n">
        <v>24</v>
      </c>
      <c r="E6" s="25"/>
    </row>
    <row r="7" customFormat="false" ht="15" hidden="false" customHeight="false" outlineLevel="0" collapsed="false">
      <c r="B7" s="17" t="s">
        <v>439</v>
      </c>
      <c r="C7" s="28" t="n">
        <f aca="false">C5*C6</f>
        <v>12000</v>
      </c>
    </row>
    <row r="8" customFormat="false" ht="15" hidden="false" customHeight="false" outlineLevel="0" collapsed="false">
      <c r="B8" s="27" t="s">
        <v>440</v>
      </c>
      <c r="C8" s="50" t="n">
        <v>0.45</v>
      </c>
      <c r="E8" s="25" t="s">
        <v>441</v>
      </c>
    </row>
    <row r="9" customFormat="false" ht="15" hidden="false" customHeight="false" outlineLevel="0" collapsed="false">
      <c r="B9" s="17" t="s">
        <v>442</v>
      </c>
      <c r="C9" s="28" t="n">
        <f aca="false">C7*C8</f>
        <v>5400</v>
      </c>
    </row>
    <row r="11" customFormat="false" ht="15" hidden="false" customHeight="false" outlineLevel="0" collapsed="false">
      <c r="B11" s="26" t="s">
        <v>443</v>
      </c>
      <c r="C11" s="6"/>
      <c r="D11" s="6"/>
      <c r="E11" s="6"/>
      <c r="F11" s="6"/>
    </row>
    <row r="12" customFormat="false" ht="15" hidden="false" customHeight="false" outlineLevel="0" collapsed="false">
      <c r="B12" s="27" t="s">
        <v>444</v>
      </c>
      <c r="C12" s="43" t="n">
        <v>9500</v>
      </c>
      <c r="E12" s="25" t="s">
        <v>445</v>
      </c>
    </row>
    <row r="13" customFormat="false" ht="15" hidden="false" customHeight="false" outlineLevel="0" collapsed="false">
      <c r="B13" s="27" t="s">
        <v>446</v>
      </c>
      <c r="C13" s="36" t="s">
        <v>179</v>
      </c>
    </row>
    <row r="14" customFormat="false" ht="15" hidden="false" customHeight="false" outlineLevel="0" collapsed="false">
      <c r="B14" s="17" t="s">
        <v>447</v>
      </c>
      <c r="C14" s="28" t="n">
        <f aca="false">IF(C13="Yes",'Trade Show &amp; Event'!D76,C12)</f>
        <v>9500</v>
      </c>
    </row>
    <row r="16" customFormat="false" ht="15" hidden="false" customHeight="false" outlineLevel="0" collapsed="false">
      <c r="B16" s="26" t="s">
        <v>448</v>
      </c>
      <c r="C16" s="6"/>
      <c r="D16" s="6"/>
      <c r="E16" s="6"/>
      <c r="F16" s="6"/>
    </row>
    <row r="17" customFormat="false" ht="15" hidden="false" customHeight="false" outlineLevel="0" collapsed="false">
      <c r="B17" s="67"/>
      <c r="C17" s="68" t="s">
        <v>449</v>
      </c>
      <c r="D17" s="68" t="s">
        <v>450</v>
      </c>
      <c r="E17" s="68" t="s">
        <v>451</v>
      </c>
    </row>
    <row r="18" customFormat="false" ht="15" hidden="false" customHeight="false" outlineLevel="0" collapsed="false">
      <c r="B18" s="27" t="s">
        <v>329</v>
      </c>
      <c r="C18" s="47" t="n">
        <v>20</v>
      </c>
      <c r="D18" s="47" t="n">
        <v>40</v>
      </c>
      <c r="E18" s="47" t="n">
        <v>60</v>
      </c>
    </row>
    <row r="19" customFormat="false" ht="15" hidden="false" customHeight="false" outlineLevel="0" collapsed="false">
      <c r="B19" s="27" t="s">
        <v>452</v>
      </c>
      <c r="C19" s="50" t="n">
        <v>0.05</v>
      </c>
      <c r="D19" s="50" t="n">
        <v>0.08</v>
      </c>
      <c r="E19" s="50" t="n">
        <v>0.12</v>
      </c>
    </row>
    <row r="20" customFormat="false" ht="15" hidden="false" customHeight="false" outlineLevel="0" collapsed="false">
      <c r="B20" s="27" t="s">
        <v>399</v>
      </c>
      <c r="C20" s="69" t="n">
        <f aca="false">ROUND(C18*C19,1)</f>
        <v>1</v>
      </c>
      <c r="D20" s="69" t="n">
        <f aca="false">ROUND(D18*D19,1)</f>
        <v>3.2</v>
      </c>
      <c r="E20" s="69" t="n">
        <f aca="false">ROUND(E18*E19,1)</f>
        <v>7.2</v>
      </c>
    </row>
    <row r="21" customFormat="false" ht="15" hidden="false" customHeight="false" outlineLevel="0" collapsed="false">
      <c r="B21" s="27" t="s">
        <v>453</v>
      </c>
      <c r="C21" s="61" t="n">
        <f aca="false">C20*$C$5*MIN(12,$C$6)</f>
        <v>6000</v>
      </c>
      <c r="D21" s="61" t="n">
        <f aca="false">D20*$C$5*MIN(12,$C$6)</f>
        <v>19200</v>
      </c>
      <c r="E21" s="61" t="n">
        <f aca="false">E20*$C$5*MIN(12,$C$6)</f>
        <v>43200</v>
      </c>
    </row>
    <row r="22" customFormat="false" ht="15" hidden="false" customHeight="false" outlineLevel="0" collapsed="false">
      <c r="B22" s="27" t="s">
        <v>454</v>
      </c>
      <c r="C22" s="61" t="n">
        <f aca="false">C20*$C$7</f>
        <v>12000</v>
      </c>
      <c r="D22" s="61" t="n">
        <f aca="false">D20*$C$7</f>
        <v>38400</v>
      </c>
      <c r="E22" s="61" t="n">
        <f aca="false">E20*$C$7</f>
        <v>86400</v>
      </c>
    </row>
    <row r="23" customFormat="false" ht="15" hidden="false" customHeight="false" outlineLevel="0" collapsed="false">
      <c r="B23" s="17" t="s">
        <v>455</v>
      </c>
      <c r="C23" s="28" t="n">
        <f aca="false">C20*$C$9</f>
        <v>5400</v>
      </c>
      <c r="D23" s="28" t="n">
        <f aca="false">D20*$C$9</f>
        <v>17280</v>
      </c>
      <c r="E23" s="28" t="n">
        <f aca="false">E20*$C$9</f>
        <v>38880</v>
      </c>
    </row>
    <row r="24" customFormat="false" ht="15" hidden="false" customHeight="false" outlineLevel="0" collapsed="false">
      <c r="B24" s="27" t="s">
        <v>330</v>
      </c>
      <c r="C24" s="61" t="n">
        <f aca="false">IF(N(C18)=0,"",$C$14/C18)</f>
        <v>475</v>
      </c>
      <c r="D24" s="61" t="n">
        <f aca="false">IF(N(D18)=0,"",$C$14/D18)</f>
        <v>237.5</v>
      </c>
      <c r="E24" s="61" t="n">
        <f aca="false">IF(N(E18)=0,"",$C$14/E18)</f>
        <v>158.333333333333</v>
      </c>
    </row>
    <row r="25" customFormat="false" ht="15" hidden="false" customHeight="false" outlineLevel="0" collapsed="false">
      <c r="B25" s="27" t="s">
        <v>456</v>
      </c>
      <c r="C25" s="61" t="n">
        <f aca="false">IF(N(C20)=0,"",$C$14/C20)</f>
        <v>9500</v>
      </c>
      <c r="D25" s="61" t="n">
        <f aca="false">IF(N(D20)=0,"",$C$14/D20)</f>
        <v>2968.75</v>
      </c>
      <c r="E25" s="61" t="n">
        <f aca="false">IF(N(E20)=0,"",$C$14/E20)</f>
        <v>1319.44444444444</v>
      </c>
    </row>
    <row r="26" customFormat="false" ht="15" hidden="false" customHeight="false" outlineLevel="0" collapsed="false">
      <c r="B26" s="17" t="s">
        <v>457</v>
      </c>
      <c r="C26" s="22" t="n">
        <f aca="false">IF(N($C$14)=0,"",(C23-$C$14)/$C$14)</f>
        <v>-0.431578947368421</v>
      </c>
      <c r="D26" s="22" t="n">
        <f aca="false">IF(N($C$14)=0,"",(D23-$C$14)/$C$14)</f>
        <v>0.818947368421053</v>
      </c>
      <c r="E26" s="22" t="n">
        <f aca="false">IF(N($C$14)=0,"",(E23-$C$14)/$C$14)</f>
        <v>3.09263157894737</v>
      </c>
    </row>
    <row r="28" customFormat="false" ht="15" hidden="false" customHeight="false" outlineLevel="0" collapsed="false">
      <c r="B28" s="26" t="s">
        <v>458</v>
      </c>
      <c r="C28" s="6"/>
      <c r="D28" s="6"/>
      <c r="E28" s="6"/>
      <c r="F28" s="6"/>
    </row>
    <row r="29" customFormat="false" ht="15" hidden="false" customHeight="false" outlineLevel="0" collapsed="false">
      <c r="B29" s="17" t="s">
        <v>459</v>
      </c>
      <c r="C29" s="70" t="n">
        <f aca="false">IF(N(C9)=0,"",ROUNDUP(C14/C9,1))</f>
        <v>1.8</v>
      </c>
    </row>
    <row r="30" customFormat="false" ht="15" hidden="false" customHeight="false" outlineLevel="0" collapsed="false">
      <c r="B30" s="17" t="s">
        <v>460</v>
      </c>
      <c r="C30" s="24" t="n">
        <f aca="false">IF(OR(N(C9)=0,N(D19)=0),"",ROUNDUP(C14/C9/D19,0))</f>
        <v>22</v>
      </c>
    </row>
    <row r="31" customFormat="false" ht="15" hidden="false" customHeight="false" outlineLevel="0" collapsed="false">
      <c r="B31" s="71" t="s">
        <v>461</v>
      </c>
      <c r="C31" s="72" t="str">
        <f aca="false">IF(N(C14)=0,"",IF(N(C26)&gt;=0,"Go. Even the worst case pays for itself.",IF(N(D26)&gt;=0,"Probably go, if you can hit the expected numbers. Plan your hook and pre-show outreach.","Rethink it. Even the expected case loses money.")))</f>
        <v>Probably go, if you can hit the expected numbers. Plan your hook and pre-show outreach.</v>
      </c>
      <c r="D31" s="72"/>
      <c r="E31" s="72"/>
    </row>
    <row r="33" customFormat="false" ht="15" hidden="false" customHeight="false" outlineLevel="0" collapsed="false">
      <c r="B33" s="25" t="s">
        <v>462</v>
      </c>
    </row>
  </sheetData>
  <mergeCells count="1">
    <mergeCell ref="C31:E31"/>
  </mergeCells>
  <conditionalFormatting sqref="C26:E26">
    <cfRule type="expression" priority="2" aboveAverage="0" equalAverage="0" bottom="0" percent="0" rank="0" text="" dxfId="2">
      <formula>AND(ISNUMBER(C26),C26&lt;0)</formula>
    </cfRule>
    <cfRule type="expression" priority="3" aboveAverage="0" equalAverage="0" bottom="0" percent="0" rank="0" text="" dxfId="0">
      <formula>AND(ISNUMBER(C26),C26&gt;=1)</formula>
    </cfRule>
  </conditionalFormatting>
  <conditionalFormatting sqref="C31">
    <cfRule type="expression" priority="4" aboveAverage="0" equalAverage="0" bottom="0" percent="0" rank="0" text="" dxfId="0">
      <formula>LEFT(C31,2)="Go"</formula>
    </cfRule>
    <cfRule type="expression" priority="5" aboveAverage="0" equalAverage="0" bottom="0" percent="0" rank="0" text="" dxfId="3">
      <formula>LEFT(C31,4)="Prob"</formula>
    </cfRule>
    <cfRule type="expression" priority="6" aboveAverage="0" equalAverage="0" bottom="0" percent="0" rank="0" text="" dxfId="2">
      <formula>LEFT(C31,4)="Reth"</formula>
    </cfRule>
  </conditionalFormatting>
  <dataValidations count="1">
    <dataValidation allowBlank="true" errorStyle="stop" operator="between" showDropDown="false" showErrorMessage="false" showInputMessage="false" sqref="C13"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AR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1" topLeftCell="D12" activePane="bottomRight" state="frozen"/>
      <selection pane="topLeft" activeCell="A1" activeCellId="0" sqref="A1"/>
      <selection pane="topRight" activeCell="D1" activeCellId="0" sqref="D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46"/>
    <col collapsed="false" customWidth="true" hidden="false" outlineLevel="0" max="4" min="4" style="0" width="11"/>
    <col collapsed="false" customWidth="true" hidden="false" outlineLevel="0" max="5" min="5" style="0" width="9"/>
    <col collapsed="false" customWidth="true" hidden="false" outlineLevel="0" max="7" min="6" style="0" width="12"/>
    <col collapsed="false" customWidth="true" hidden="false" outlineLevel="0" max="8" min="8" style="0" width="7"/>
    <col collapsed="false" customWidth="true" hidden="false" outlineLevel="0" max="9" min="9" style="0" width="12"/>
    <col collapsed="false" customWidth="true" hidden="false" outlineLevel="0" max="10" min="10" style="0" width="8"/>
    <col collapsed="false" customWidth="true" hidden="false" outlineLevel="0" max="11" min="11" style="0" width="15"/>
    <col collapsed="false" customWidth="true" hidden="false" outlineLevel="0" max="12" min="12" style="0" width="8"/>
    <col collapsed="false" customWidth="true" hidden="false" outlineLevel="0" max="13" min="13" style="0" width="12"/>
    <col collapsed="false" customWidth="true" hidden="false" outlineLevel="0" max="14" min="14" style="0" width="30"/>
    <col collapsed="false" customWidth="true" hidden="false" outlineLevel="0" max="44" min="15" style="0" width="4.6"/>
  </cols>
  <sheetData>
    <row r="1" customFormat="false" ht="22.05" hidden="false" customHeight="false" outlineLevel="0" collapsed="false">
      <c r="A1" s="29" t="s">
        <v>41</v>
      </c>
    </row>
    <row r="2" customFormat="false" ht="15" hidden="false" customHeight="false" outlineLevel="0" collapsed="false">
      <c r="A2" s="30" t="s">
        <v>463</v>
      </c>
    </row>
    <row r="4" customFormat="false" ht="15" hidden="false" customHeight="false" outlineLevel="0" collapsed="false">
      <c r="B4" s="17" t="s">
        <v>53</v>
      </c>
      <c r="C4" s="36" t="s">
        <v>464</v>
      </c>
      <c r="F4" s="37" t="s">
        <v>32</v>
      </c>
      <c r="G4" s="38" t="n">
        <f aca="false">IF(SUM($H$12:$H$46)=0,"",SUMPRODUCT($H$12:$H$46,($K$12:$K$46="Done")+($K$12:$K$46&lt;&gt;"Done")*$L$12:$L$46)/SUM($H$12:$H$46))</f>
        <v>0</v>
      </c>
      <c r="H4" s="38"/>
      <c r="J4" s="37" t="s">
        <v>104</v>
      </c>
      <c r="K4" s="39" t="str">
        <f aca="false">COUNTIF($K$12:$K$46,"Done")&amp;" of "&amp;COUNTA($C$12:$C$46)</f>
        <v>0 of 10</v>
      </c>
      <c r="L4" s="39"/>
    </row>
    <row r="5" customFormat="false" ht="15" hidden="false" customHeight="false" outlineLevel="0" collapsed="false">
      <c r="B5" s="17" t="s">
        <v>105</v>
      </c>
      <c r="C5" s="36" t="s">
        <v>465</v>
      </c>
      <c r="F5" s="37" t="s">
        <v>30</v>
      </c>
      <c r="G5" s="40" t="n">
        <f aca="false">IF(COUNT($G$12:$G$46)=0,"",MIN($G$12:$G$46))</f>
        <v>46323</v>
      </c>
      <c r="H5" s="40"/>
      <c r="J5" s="37" t="s">
        <v>106</v>
      </c>
      <c r="K5" s="41" t="n">
        <f aca="false">COUNTIF($M$12:$M$46,"Overdue")</f>
        <v>0</v>
      </c>
      <c r="L5" s="41"/>
    </row>
    <row r="6" customFormat="false" ht="15" hidden="false" customHeight="false" outlineLevel="0" collapsed="false">
      <c r="B6" s="17" t="s">
        <v>107</v>
      </c>
      <c r="C6" s="42" t="n">
        <f aca="true">TODAY()+14</f>
        <v>46323</v>
      </c>
      <c r="F6" s="37" t="s">
        <v>31</v>
      </c>
      <c r="G6" s="40" t="n">
        <f aca="false">IF(COUNT($I$12:$I$46)=0,"",MAX($I$12:$I$46))</f>
        <v>46360</v>
      </c>
      <c r="H6" s="40"/>
      <c r="J6" s="37" t="s">
        <v>36</v>
      </c>
      <c r="K6" s="40" t="n">
        <f aca="true">IFERROR(_xlfn.MINIFS($I$12:$I$46,$K$12:$K$46,"&lt;&gt;Done",$I$12:$I$46,"&gt;="&amp;TODAY()),"")</f>
        <v>46324</v>
      </c>
      <c r="L6" s="40"/>
    </row>
    <row r="7" customFormat="false" ht="15" hidden="false" customHeight="false" outlineLevel="0" collapsed="false">
      <c r="B7" s="17" t="s">
        <v>59</v>
      </c>
      <c r="C7" s="43" t="n">
        <v>0</v>
      </c>
    </row>
    <row r="8" customFormat="false" ht="15" hidden="false" customHeight="false" outlineLevel="0" collapsed="false">
      <c r="B8" s="17" t="s">
        <v>108</v>
      </c>
      <c r="C8" s="36" t="s">
        <v>466</v>
      </c>
    </row>
    <row r="9" customFormat="false" ht="15" hidden="false" customHeight="false" outlineLevel="0" collapsed="false">
      <c r="B9" s="25" t="s">
        <v>110</v>
      </c>
    </row>
    <row r="10" customFormat="false" ht="15" hidden="false" customHeight="false" outlineLevel="0" collapsed="false">
      <c r="C10" s="25" t="s">
        <v>111</v>
      </c>
      <c r="O10" s="44" t="str">
        <f aca="false">TEXT(O11,"mmm")</f>
        <v>Oct</v>
      </c>
      <c r="P10" s="44" t="str">
        <f aca="false">IF(MONTH(P11)&lt;&gt;MONTH(O11),TEXT(P11,"mmm"),"")</f>
        <v>Nov</v>
      </c>
      <c r="Q10" s="44" t="str">
        <f aca="false">IF(MONTH(Q11)&lt;&gt;MONTH(P11),TEXT(Q11,"mmm"),"")</f>
        <v/>
      </c>
      <c r="R10" s="44" t="str">
        <f aca="false">IF(MONTH(R11)&lt;&gt;MONTH(Q11),TEXT(R11,"mmm"),"")</f>
        <v/>
      </c>
      <c r="S10" s="44" t="str">
        <f aca="false">IF(MONTH(S11)&lt;&gt;MONTH(R11),TEXT(S11,"mmm"),"")</f>
        <v/>
      </c>
      <c r="T10" s="44" t="str">
        <f aca="false">IF(MONTH(T11)&lt;&gt;MONTH(S11),TEXT(T11,"mmm"),"")</f>
        <v/>
      </c>
      <c r="U10" s="44" t="str">
        <f aca="false">IF(MONTH(U11)&lt;&gt;MONTH(T11),TEXT(U11,"mmm"),"")</f>
        <v>Dec</v>
      </c>
      <c r="V10" s="44" t="str">
        <f aca="false">IF(MONTH(V11)&lt;&gt;MONTH(U11),TEXT(V11,"mmm"),"")</f>
        <v/>
      </c>
      <c r="W10" s="44" t="str">
        <f aca="false">IF(MONTH(W11)&lt;&gt;MONTH(V11),TEXT(W11,"mmm"),"")</f>
        <v/>
      </c>
      <c r="X10" s="44" t="str">
        <f aca="false">IF(MONTH(X11)&lt;&gt;MONTH(W11),TEXT(X11,"mmm"),"")</f>
        <v/>
      </c>
      <c r="Y10" s="44" t="str">
        <f aca="false">IF(MONTH(Y11)&lt;&gt;MONTH(X11),TEXT(Y11,"mmm"),"")</f>
        <v>Jan</v>
      </c>
      <c r="Z10" s="44" t="str">
        <f aca="false">IF(MONTH(Z11)&lt;&gt;MONTH(Y11),TEXT(Z11,"mmm"),"")</f>
        <v/>
      </c>
      <c r="AA10" s="44" t="str">
        <f aca="false">IF(MONTH(AA11)&lt;&gt;MONTH(Z11),TEXT(AA11,"mmm"),"")</f>
        <v/>
      </c>
      <c r="AB10" s="44" t="str">
        <f aca="false">IF(MONTH(AB11)&lt;&gt;MONTH(AA11),TEXT(AB11,"mmm"),"")</f>
        <v/>
      </c>
      <c r="AC10" s="44" t="str">
        <f aca="false">IF(MONTH(AC11)&lt;&gt;MONTH(AB11),TEXT(AC11,"mmm"),"")</f>
        <v>Feb</v>
      </c>
      <c r="AD10" s="44" t="str">
        <f aca="false">IF(MONTH(AD11)&lt;&gt;MONTH(AC11),TEXT(AD11,"mmm"),"")</f>
        <v/>
      </c>
      <c r="AE10" s="44" t="str">
        <f aca="false">IF(MONTH(AE11)&lt;&gt;MONTH(AD11),TEXT(AE11,"mmm"),"")</f>
        <v/>
      </c>
      <c r="AF10" s="44" t="str">
        <f aca="false">IF(MONTH(AF11)&lt;&gt;MONTH(AE11),TEXT(AF11,"mmm"),"")</f>
        <v/>
      </c>
      <c r="AG10" s="44" t="str">
        <f aca="false">IF(MONTH(AG11)&lt;&gt;MONTH(AF11),TEXT(AG11,"mmm"),"")</f>
        <v>Mar</v>
      </c>
      <c r="AH10" s="44" t="str">
        <f aca="false">IF(MONTH(AH11)&lt;&gt;MONTH(AG11),TEXT(AH11,"mmm"),"")</f>
        <v/>
      </c>
      <c r="AI10" s="44" t="str">
        <f aca="false">IF(MONTH(AI11)&lt;&gt;MONTH(AH11),TEXT(AI11,"mmm"),"")</f>
        <v/>
      </c>
      <c r="AJ10" s="44" t="str">
        <f aca="false">IF(MONTH(AJ11)&lt;&gt;MONTH(AI11),TEXT(AJ11,"mmm"),"")</f>
        <v/>
      </c>
      <c r="AK10" s="44" t="str">
        <f aca="false">IF(MONTH(AK11)&lt;&gt;MONTH(AJ11),TEXT(AK11,"mmm"),"")</f>
        <v/>
      </c>
      <c r="AL10" s="44" t="str">
        <f aca="false">IF(MONTH(AL11)&lt;&gt;MONTH(AK11),TEXT(AL11,"mmm"),"")</f>
        <v>Apr</v>
      </c>
      <c r="AM10" s="44" t="str">
        <f aca="false">IF(MONTH(AM11)&lt;&gt;MONTH(AL11),TEXT(AM11,"mmm"),"")</f>
        <v/>
      </c>
      <c r="AN10" s="44" t="str">
        <f aca="false">IF(MONTH(AN11)&lt;&gt;MONTH(AM11),TEXT(AN11,"mmm"),"")</f>
        <v/>
      </c>
      <c r="AO10" s="44" t="str">
        <f aca="false">IF(MONTH(AO11)&lt;&gt;MONTH(AN11),TEXT(AO11,"mmm"),"")</f>
        <v/>
      </c>
      <c r="AP10" s="44" t="str">
        <f aca="false">IF(MONTH(AP11)&lt;&gt;MONTH(AO11),TEXT(AP11,"mmm"),"")</f>
        <v>May</v>
      </c>
      <c r="AQ10" s="44" t="str">
        <f aca="false">IF(MONTH(AQ11)&lt;&gt;MONTH(AP11),TEXT(AQ11,"mmm"),"")</f>
        <v/>
      </c>
      <c r="AR10" s="44" t="str">
        <f aca="false">IF(MONTH(AR11)&lt;&gt;MONTH(AQ11),TEXT(AR11,"mmm"),"")</f>
        <v/>
      </c>
    </row>
    <row r="11" customFormat="false" ht="42" hidden="false" customHeight="true" outlineLevel="0" collapsed="false">
      <c r="A11" s="18" t="s">
        <v>112</v>
      </c>
      <c r="B11" s="18" t="s">
        <v>113</v>
      </c>
      <c r="C11" s="18" t="s">
        <v>114</v>
      </c>
      <c r="D11" s="18" t="s">
        <v>56</v>
      </c>
      <c r="E11" s="18" t="s">
        <v>115</v>
      </c>
      <c r="F11" s="18" t="s">
        <v>116</v>
      </c>
      <c r="G11" s="18" t="s">
        <v>117</v>
      </c>
      <c r="H11" s="18" t="s">
        <v>118</v>
      </c>
      <c r="I11" s="18" t="s">
        <v>119</v>
      </c>
      <c r="J11" s="18" t="s">
        <v>120</v>
      </c>
      <c r="K11" s="18" t="s">
        <v>121</v>
      </c>
      <c r="L11" s="18" t="s">
        <v>122</v>
      </c>
      <c r="M11" s="18" t="s">
        <v>123</v>
      </c>
      <c r="N11" s="18" t="s">
        <v>124</v>
      </c>
      <c r="O11" s="45" t="n">
        <f aca="false">(MIN($G$12:$G$46)-WEEKDAY(MIN($G$12:$G$46),3))+0</f>
        <v>46321</v>
      </c>
      <c r="P11" s="45" t="n">
        <f aca="false">O11+7</f>
        <v>46328</v>
      </c>
      <c r="Q11" s="45" t="n">
        <f aca="false">P11+7</f>
        <v>46335</v>
      </c>
      <c r="R11" s="45" t="n">
        <f aca="false">Q11+7</f>
        <v>46342</v>
      </c>
      <c r="S11" s="45" t="n">
        <f aca="false">R11+7</f>
        <v>46349</v>
      </c>
      <c r="T11" s="45" t="n">
        <f aca="false">S11+7</f>
        <v>46356</v>
      </c>
      <c r="U11" s="45" t="n">
        <f aca="false">T11+7</f>
        <v>46363</v>
      </c>
      <c r="V11" s="45" t="n">
        <f aca="false">U11+7</f>
        <v>46370</v>
      </c>
      <c r="W11" s="45" t="n">
        <f aca="false">V11+7</f>
        <v>46377</v>
      </c>
      <c r="X11" s="45" t="n">
        <f aca="false">W11+7</f>
        <v>46384</v>
      </c>
      <c r="Y11" s="45" t="n">
        <f aca="false">X11+7</f>
        <v>46391</v>
      </c>
      <c r="Z11" s="45" t="n">
        <f aca="false">Y11+7</f>
        <v>46398</v>
      </c>
      <c r="AA11" s="45" t="n">
        <f aca="false">Z11+7</f>
        <v>46405</v>
      </c>
      <c r="AB11" s="45" t="n">
        <f aca="false">AA11+7</f>
        <v>46412</v>
      </c>
      <c r="AC11" s="45" t="n">
        <f aca="false">AB11+7</f>
        <v>46419</v>
      </c>
      <c r="AD11" s="45" t="n">
        <f aca="false">AC11+7</f>
        <v>46426</v>
      </c>
      <c r="AE11" s="45" t="n">
        <f aca="false">AD11+7</f>
        <v>46433</v>
      </c>
      <c r="AF11" s="45" t="n">
        <f aca="false">AE11+7</f>
        <v>46440</v>
      </c>
      <c r="AG11" s="45" t="n">
        <f aca="false">AF11+7</f>
        <v>46447</v>
      </c>
      <c r="AH11" s="45" t="n">
        <f aca="false">AG11+7</f>
        <v>46454</v>
      </c>
      <c r="AI11" s="45" t="n">
        <f aca="false">AH11+7</f>
        <v>46461</v>
      </c>
      <c r="AJ11" s="45" t="n">
        <f aca="false">AI11+7</f>
        <v>46468</v>
      </c>
      <c r="AK11" s="45" t="n">
        <f aca="false">AJ11+7</f>
        <v>46475</v>
      </c>
      <c r="AL11" s="45" t="n">
        <f aca="false">AK11+7</f>
        <v>46482</v>
      </c>
      <c r="AM11" s="45" t="n">
        <f aca="false">AL11+7</f>
        <v>46489</v>
      </c>
      <c r="AN11" s="45" t="n">
        <f aca="false">AM11+7</f>
        <v>46496</v>
      </c>
      <c r="AO11" s="45" t="n">
        <f aca="false">AN11+7</f>
        <v>46503</v>
      </c>
      <c r="AP11" s="45" t="n">
        <f aca="false">AO11+7</f>
        <v>46510</v>
      </c>
      <c r="AQ11" s="45" t="n">
        <f aca="false">AP11+7</f>
        <v>46517</v>
      </c>
      <c r="AR11" s="45" t="n">
        <f aca="false">AQ11+7</f>
        <v>46524</v>
      </c>
    </row>
    <row r="12" customFormat="false" ht="27.75" hidden="false" customHeight="true" outlineLevel="0" collapsed="false">
      <c r="A12" s="46" t="n">
        <f aca="false">IF(C12="","",ROW()-11)</f>
        <v>1</v>
      </c>
      <c r="B12" s="36" t="s">
        <v>467</v>
      </c>
      <c r="C12" s="35" t="s">
        <v>468</v>
      </c>
      <c r="D12" s="36" t="s">
        <v>56</v>
      </c>
      <c r="E12" s="47" t="n">
        <v>0</v>
      </c>
      <c r="F12" s="48"/>
      <c r="G12" s="49" t="n">
        <f aca="false">IF(C12="","",IF(F12&lt;&gt;"",F12,IF(E12="","",$C$6+E12)))</f>
        <v>46323</v>
      </c>
      <c r="H12" s="47" t="n">
        <v>2</v>
      </c>
      <c r="I12" s="49" t="n">
        <f aca="false">IF(OR(G12="",H12=""),"",G12+MAX(H12,1)-1)</f>
        <v>46324</v>
      </c>
      <c r="J12" s="47"/>
      <c r="K12" s="36" t="s">
        <v>144</v>
      </c>
      <c r="L12" s="50"/>
      <c r="M12" s="51" t="str">
        <f aca="true">IF(OR(C12="",I12=""),"",IF(AND(K12&lt;&gt;"Done",I12&lt;TODAY()),"Overdue",IF(AND(J12&lt;&gt;"",IFERROR(G12&lt;INDEX($I$12:$I$46,MATCH(J12,$A$12:$A$46,0)),FALSE())),"Check order","")))</f>
        <v/>
      </c>
      <c r="N12" s="35"/>
    </row>
    <row r="13" customFormat="false" ht="27.75" hidden="false" customHeight="true" outlineLevel="0" collapsed="false">
      <c r="A13" s="46" t="n">
        <f aca="false">IF(C13="","",ROW()-11)</f>
        <v>2</v>
      </c>
      <c r="B13" s="36" t="s">
        <v>467</v>
      </c>
      <c r="C13" s="35" t="s">
        <v>469</v>
      </c>
      <c r="D13" s="36" t="s">
        <v>56</v>
      </c>
      <c r="E13" s="47" t="n">
        <v>2</v>
      </c>
      <c r="F13" s="48"/>
      <c r="G13" s="49" t="n">
        <f aca="false">IF(C13="","",IF(F13&lt;&gt;"",F13,IF(E13="","",$C$6+E13)))</f>
        <v>46325</v>
      </c>
      <c r="H13" s="47" t="n">
        <v>2</v>
      </c>
      <c r="I13" s="49" t="n">
        <f aca="false">IF(OR(G13="",H13=""),"",G13+MAX(H13,1)-1)</f>
        <v>46326</v>
      </c>
      <c r="J13" s="47" t="n">
        <v>1</v>
      </c>
      <c r="K13" s="36" t="s">
        <v>144</v>
      </c>
      <c r="L13" s="50"/>
      <c r="M13" s="51" t="str">
        <f aca="true">IF(OR(C13="",I13=""),"",IF(AND(K13&lt;&gt;"Done",I13&lt;TODAY()),"Overdue",IF(AND(J13&lt;&gt;"",IFERROR(G13&lt;INDEX($I$12:$I$46,MATCH(J13,$A$12:$A$46,0)),FALSE())),"Check order","")))</f>
        <v/>
      </c>
      <c r="N13" s="35"/>
    </row>
    <row r="14" customFormat="false" ht="27.75" hidden="false" customHeight="true" outlineLevel="0" collapsed="false">
      <c r="A14" s="46" t="n">
        <f aca="false">IF(C14="","",ROW()-11)</f>
        <v>3</v>
      </c>
      <c r="B14" s="36" t="s">
        <v>467</v>
      </c>
      <c r="C14" s="35" t="s">
        <v>470</v>
      </c>
      <c r="D14" s="36" t="s">
        <v>56</v>
      </c>
      <c r="E14" s="47" t="n">
        <v>4</v>
      </c>
      <c r="F14" s="48"/>
      <c r="G14" s="49" t="n">
        <f aca="false">IF(C14="","",IF(F14&lt;&gt;"",F14,IF(E14="","",$C$6+E14)))</f>
        <v>46327</v>
      </c>
      <c r="H14" s="47" t="n">
        <v>1</v>
      </c>
      <c r="I14" s="49" t="n">
        <f aca="false">IF(OR(G14="",H14=""),"",G14+MAX(H14,1)-1)</f>
        <v>46327</v>
      </c>
      <c r="J14" s="47" t="n">
        <v>2</v>
      </c>
      <c r="K14" s="36" t="s">
        <v>144</v>
      </c>
      <c r="L14" s="50"/>
      <c r="M14" s="51" t="str">
        <f aca="true">IF(OR(C14="",I14=""),"",IF(AND(K14&lt;&gt;"Done",I14&lt;TODAY()),"Overdue",IF(AND(J14&lt;&gt;"",IFERROR(G14&lt;INDEX($I$12:$I$46,MATCH(J14,$A$12:$A$46,0)),FALSE())),"Check order","")))</f>
        <v/>
      </c>
      <c r="N14" s="35"/>
    </row>
    <row r="15" customFormat="false" ht="27.75" hidden="false" customHeight="true" outlineLevel="0" collapsed="false">
      <c r="A15" s="46" t="n">
        <f aca="false">IF(C15="","",ROW()-11)</f>
        <v>4</v>
      </c>
      <c r="B15" s="36" t="s">
        <v>471</v>
      </c>
      <c r="C15" s="35" t="s">
        <v>472</v>
      </c>
      <c r="D15" s="36" t="s">
        <v>473</v>
      </c>
      <c r="E15" s="47" t="n">
        <v>5</v>
      </c>
      <c r="F15" s="48"/>
      <c r="G15" s="49" t="n">
        <f aca="false">IF(C15="","",IF(F15&lt;&gt;"",F15,IF(E15="","",$C$6+E15)))</f>
        <v>46328</v>
      </c>
      <c r="H15" s="47" t="n">
        <v>10</v>
      </c>
      <c r="I15" s="49" t="n">
        <f aca="false">IF(OR(G15="",H15=""),"",G15+MAX(H15,1)-1)</f>
        <v>46337</v>
      </c>
      <c r="J15" s="47" t="n">
        <v>3</v>
      </c>
      <c r="K15" s="36" t="s">
        <v>144</v>
      </c>
      <c r="L15" s="50"/>
      <c r="M15" s="51" t="str">
        <f aca="true">IF(OR(C15="",I15=""),"",IF(AND(K15&lt;&gt;"Done",I15&lt;TODAY()),"Overdue",IF(AND(J15&lt;&gt;"",IFERROR(G15&lt;INDEX($I$12:$I$46,MATCH(J15,$A$12:$A$46,0)),FALSE())),"Check order","")))</f>
        <v/>
      </c>
      <c r="N15" s="35"/>
    </row>
    <row r="16" customFormat="false" ht="27.75" hidden="false" customHeight="true" outlineLevel="0" collapsed="false">
      <c r="A16" s="46" t="n">
        <f aca="false">IF(C16="","",ROW()-11)</f>
        <v>5</v>
      </c>
      <c r="B16" s="36" t="s">
        <v>471</v>
      </c>
      <c r="C16" s="35" t="s">
        <v>474</v>
      </c>
      <c r="D16" s="36" t="s">
        <v>473</v>
      </c>
      <c r="E16" s="47" t="n">
        <v>12</v>
      </c>
      <c r="F16" s="48"/>
      <c r="G16" s="49" t="n">
        <f aca="false">IF(C16="","",IF(F16&lt;&gt;"",F16,IF(E16="","",$C$6+E16)))</f>
        <v>46335</v>
      </c>
      <c r="H16" s="47" t="n">
        <v>10</v>
      </c>
      <c r="I16" s="49" t="n">
        <f aca="false">IF(OR(G16="",H16=""),"",G16+MAX(H16,1)-1)</f>
        <v>46344</v>
      </c>
      <c r="J16" s="47"/>
      <c r="K16" s="36" t="s">
        <v>144</v>
      </c>
      <c r="L16" s="50"/>
      <c r="M16" s="51" t="str">
        <f aca="true">IF(OR(C16="",I16=""),"",IF(AND(K16&lt;&gt;"Done",I16&lt;TODAY()),"Overdue",IF(AND(J16&lt;&gt;"",IFERROR(G16&lt;INDEX($I$12:$I$46,MATCH(J16,$A$12:$A$46,0)),FALSE())),"Check order","")))</f>
        <v/>
      </c>
      <c r="N16" s="35"/>
    </row>
    <row r="17" customFormat="false" ht="27.75" hidden="false" customHeight="true" outlineLevel="0" collapsed="false">
      <c r="A17" s="46" t="n">
        <f aca="false">IF(C17="","",ROW()-11)</f>
        <v>6</v>
      </c>
      <c r="B17" s="36" t="s">
        <v>471</v>
      </c>
      <c r="C17" s="35" t="s">
        <v>475</v>
      </c>
      <c r="D17" s="36" t="s">
        <v>56</v>
      </c>
      <c r="E17" s="47" t="n">
        <v>5</v>
      </c>
      <c r="F17" s="48"/>
      <c r="G17" s="49" t="n">
        <f aca="false">IF(C17="","",IF(F17&lt;&gt;"",F17,IF(E17="","",$C$6+E17)))</f>
        <v>46328</v>
      </c>
      <c r="H17" s="47" t="n">
        <v>30</v>
      </c>
      <c r="I17" s="49" t="n">
        <f aca="false">IF(OR(G17="",H17=""),"",G17+MAX(H17,1)-1)</f>
        <v>46357</v>
      </c>
      <c r="J17" s="47" t="n">
        <v>3</v>
      </c>
      <c r="K17" s="36" t="s">
        <v>144</v>
      </c>
      <c r="L17" s="50"/>
      <c r="M17" s="51" t="str">
        <f aca="true">IF(OR(C17="",I17=""),"",IF(AND(K17&lt;&gt;"Done",I17&lt;TODAY()),"Overdue",IF(AND(J17&lt;&gt;"",IFERROR(G17&lt;INDEX($I$12:$I$46,MATCH(J17,$A$12:$A$46,0)),FALSE())),"Check order","")))</f>
        <v/>
      </c>
      <c r="N17" s="35"/>
    </row>
    <row r="18" customFormat="false" ht="27.75" hidden="false" customHeight="true" outlineLevel="0" collapsed="false">
      <c r="A18" s="46" t="n">
        <f aca="false">IF(C18="","",ROW()-11)</f>
        <v>7</v>
      </c>
      <c r="B18" s="36" t="s">
        <v>476</v>
      </c>
      <c r="C18" s="35" t="s">
        <v>477</v>
      </c>
      <c r="D18" s="36" t="s">
        <v>56</v>
      </c>
      <c r="E18" s="47" t="n">
        <v>22</v>
      </c>
      <c r="F18" s="48"/>
      <c r="G18" s="49" t="n">
        <f aca="false">IF(C18="","",IF(F18&lt;&gt;"",F18,IF(E18="","",$C$6+E18)))</f>
        <v>46345</v>
      </c>
      <c r="H18" s="47" t="n">
        <v>4</v>
      </c>
      <c r="I18" s="49" t="n">
        <f aca="false">IF(OR(G18="",H18=""),"",G18+MAX(H18,1)-1)</f>
        <v>46348</v>
      </c>
      <c r="J18" s="47" t="n">
        <v>5</v>
      </c>
      <c r="K18" s="36" t="s">
        <v>144</v>
      </c>
      <c r="L18" s="50"/>
      <c r="M18" s="51" t="str">
        <f aca="true">IF(OR(C18="",I18=""),"",IF(AND(K18&lt;&gt;"Done",I18&lt;TODAY()),"Overdue",IF(AND(J18&lt;&gt;"",IFERROR(G18&lt;INDEX($I$12:$I$46,MATCH(J18,$A$12:$A$46,0)),FALSE())),"Check order","")))</f>
        <v/>
      </c>
      <c r="N18" s="35"/>
    </row>
    <row r="19" customFormat="false" ht="27.75" hidden="false" customHeight="true" outlineLevel="0" collapsed="false">
      <c r="A19" s="46" t="n">
        <f aca="false">IF(C19="","",ROW()-11)</f>
        <v>8</v>
      </c>
      <c r="B19" s="36" t="s">
        <v>476</v>
      </c>
      <c r="C19" s="35" t="s">
        <v>478</v>
      </c>
      <c r="D19" s="36" t="s">
        <v>473</v>
      </c>
      <c r="E19" s="47" t="n">
        <v>26</v>
      </c>
      <c r="F19" s="48"/>
      <c r="G19" s="49" t="n">
        <f aca="false">IF(C19="","",IF(F19&lt;&gt;"",F19,IF(E19="","",$C$6+E19)))</f>
        <v>46349</v>
      </c>
      <c r="H19" s="47" t="n">
        <v>3</v>
      </c>
      <c r="I19" s="49" t="n">
        <f aca="false">IF(OR(G19="",H19=""),"",G19+MAX(H19,1)-1)</f>
        <v>46351</v>
      </c>
      <c r="J19" s="47" t="n">
        <v>7</v>
      </c>
      <c r="K19" s="36" t="s">
        <v>144</v>
      </c>
      <c r="L19" s="50"/>
      <c r="M19" s="51" t="str">
        <f aca="true">IF(OR(C19="",I19=""),"",IF(AND(K19&lt;&gt;"Done",I19&lt;TODAY()),"Overdue",IF(AND(J19&lt;&gt;"",IFERROR(G19&lt;INDEX($I$12:$I$46,MATCH(J19,$A$12:$A$46,0)),FALSE())),"Check order","")))</f>
        <v/>
      </c>
      <c r="N19" s="35"/>
    </row>
    <row r="20" customFormat="false" ht="27.75" hidden="false" customHeight="true" outlineLevel="0" collapsed="false">
      <c r="A20" s="46" t="n">
        <f aca="false">IF(C20="","",ROW()-11)</f>
        <v>9</v>
      </c>
      <c r="B20" s="36" t="s">
        <v>150</v>
      </c>
      <c r="C20" s="35" t="s">
        <v>479</v>
      </c>
      <c r="D20" s="36" t="s">
        <v>473</v>
      </c>
      <c r="E20" s="47" t="n">
        <v>30</v>
      </c>
      <c r="F20" s="48"/>
      <c r="G20" s="49" t="n">
        <f aca="false">IF(C20="","",IF(F20&lt;&gt;"",F20,IF(E20="","",$C$6+E20)))</f>
        <v>46353</v>
      </c>
      <c r="H20" s="47" t="n">
        <v>1</v>
      </c>
      <c r="I20" s="49" t="n">
        <f aca="false">IF(OR(G20="",H20=""),"",G20+MAX(H20,1)-1)</f>
        <v>46353</v>
      </c>
      <c r="J20" s="47" t="n">
        <v>8</v>
      </c>
      <c r="K20" s="36" t="s">
        <v>144</v>
      </c>
      <c r="L20" s="50"/>
      <c r="M20" s="51" t="str">
        <f aca="true">IF(OR(C20="",I20=""),"",IF(AND(K20&lt;&gt;"Done",I20&lt;TODAY()),"Overdue",IF(AND(J20&lt;&gt;"",IFERROR(G20&lt;INDEX($I$12:$I$46,MATCH(J20,$A$12:$A$46,0)),FALSE())),"Check order","")))</f>
        <v/>
      </c>
      <c r="N20" s="35"/>
    </row>
    <row r="21" customFormat="false" ht="27.75" hidden="false" customHeight="true" outlineLevel="0" collapsed="false">
      <c r="A21" s="46" t="n">
        <f aca="false">IF(C21="","",ROW()-11)</f>
        <v>10</v>
      </c>
      <c r="B21" s="36" t="s">
        <v>218</v>
      </c>
      <c r="C21" s="35" t="s">
        <v>480</v>
      </c>
      <c r="D21" s="36" t="s">
        <v>56</v>
      </c>
      <c r="E21" s="47" t="n">
        <v>37</v>
      </c>
      <c r="F21" s="48"/>
      <c r="G21" s="49" t="n">
        <f aca="false">IF(C21="","",IF(F21&lt;&gt;"",F21,IF(E21="","",$C$6+E21)))</f>
        <v>46360</v>
      </c>
      <c r="H21" s="47" t="n">
        <v>1</v>
      </c>
      <c r="I21" s="49" t="n">
        <f aca="false">IF(OR(G21="",H21=""),"",G21+MAX(H21,1)-1)</f>
        <v>46360</v>
      </c>
      <c r="J21" s="47" t="n">
        <v>9</v>
      </c>
      <c r="K21" s="36" t="s">
        <v>144</v>
      </c>
      <c r="L21" s="50"/>
      <c r="M21" s="51" t="str">
        <f aca="true">IF(OR(C21="",I21=""),"",IF(AND(K21&lt;&gt;"Done",I21&lt;TODAY()),"Overdue",IF(AND(J21&lt;&gt;"",IFERROR(G21&lt;INDEX($I$12:$I$46,MATCH(J21,$A$12:$A$46,0)),FALSE())),"Check order","")))</f>
        <v/>
      </c>
      <c r="N21" s="35"/>
    </row>
    <row r="22" customFormat="false" ht="15" hidden="false" customHeight="true" outlineLevel="0" collapsed="false">
      <c r="A22" s="46" t="str">
        <f aca="false">IF(C22="","",ROW()-11)</f>
        <v/>
      </c>
      <c r="B22" s="36"/>
      <c r="C22" s="35"/>
      <c r="D22" s="36"/>
      <c r="E22" s="47"/>
      <c r="F22" s="48"/>
      <c r="G22" s="49" t="str">
        <f aca="false">IF(C22="","",IF(F22&lt;&gt;"",F22,IF(E22="","",$C$6+E22)))</f>
        <v/>
      </c>
      <c r="H22" s="47"/>
      <c r="I22" s="49" t="str">
        <f aca="false">IF(OR(G22="",H22=""),"",G22+MAX(H22,1)-1)</f>
        <v/>
      </c>
      <c r="J22" s="47"/>
      <c r="K22" s="36"/>
      <c r="L22" s="50"/>
      <c r="M22" s="51" t="str">
        <f aca="true">IF(OR(C22="",I22=""),"",IF(AND(K22&lt;&gt;"Done",I22&lt;TODAY()),"Overdue",IF(AND(J22&lt;&gt;"",IFERROR(G22&lt;INDEX($I$12:$I$46,MATCH(J22,$A$12:$A$46,0)),FALSE())),"Check order","")))</f>
        <v/>
      </c>
      <c r="N22" s="35"/>
    </row>
    <row r="23" customFormat="false" ht="15" hidden="false" customHeight="true" outlineLevel="0" collapsed="false">
      <c r="A23" s="46" t="str">
        <f aca="false">IF(C23="","",ROW()-11)</f>
        <v/>
      </c>
      <c r="B23" s="36"/>
      <c r="C23" s="35"/>
      <c r="D23" s="36"/>
      <c r="E23" s="47"/>
      <c r="F23" s="48"/>
      <c r="G23" s="49" t="str">
        <f aca="false">IF(C23="","",IF(F23&lt;&gt;"",F23,IF(E23="","",$C$6+E23)))</f>
        <v/>
      </c>
      <c r="H23" s="47"/>
      <c r="I23" s="49" t="str">
        <f aca="false">IF(OR(G23="",H23=""),"",G23+MAX(H23,1)-1)</f>
        <v/>
      </c>
      <c r="J23" s="47"/>
      <c r="K23" s="36"/>
      <c r="L23" s="50"/>
      <c r="M23" s="51" t="str">
        <f aca="true">IF(OR(C23="",I23=""),"",IF(AND(K23&lt;&gt;"Done",I23&lt;TODAY()),"Overdue",IF(AND(J23&lt;&gt;"",IFERROR(G23&lt;INDEX($I$12:$I$46,MATCH(J23,$A$12:$A$46,0)),FALSE())),"Check order","")))</f>
        <v/>
      </c>
      <c r="N23" s="35"/>
    </row>
    <row r="24" customFormat="false" ht="15" hidden="false" customHeight="true" outlineLevel="0" collapsed="false">
      <c r="A24" s="46" t="str">
        <f aca="false">IF(C24="","",ROW()-11)</f>
        <v/>
      </c>
      <c r="B24" s="36"/>
      <c r="C24" s="35"/>
      <c r="D24" s="36"/>
      <c r="E24" s="47"/>
      <c r="F24" s="48"/>
      <c r="G24" s="49" t="str">
        <f aca="false">IF(C24="","",IF(F24&lt;&gt;"",F24,IF(E24="","",$C$6+E24)))</f>
        <v/>
      </c>
      <c r="H24" s="47"/>
      <c r="I24" s="49" t="str">
        <f aca="false">IF(OR(G24="",H24=""),"",G24+MAX(H24,1)-1)</f>
        <v/>
      </c>
      <c r="J24" s="47"/>
      <c r="K24" s="36"/>
      <c r="L24" s="50"/>
      <c r="M24" s="51" t="str">
        <f aca="true">IF(OR(C24="",I24=""),"",IF(AND(K24&lt;&gt;"Done",I24&lt;TODAY()),"Overdue",IF(AND(J24&lt;&gt;"",IFERROR(G24&lt;INDEX($I$12:$I$46,MATCH(J24,$A$12:$A$46,0)),FALSE())),"Check order","")))</f>
        <v/>
      </c>
      <c r="N24" s="35"/>
    </row>
    <row r="25" customFormat="false" ht="15" hidden="false" customHeight="true" outlineLevel="0" collapsed="false">
      <c r="A25" s="46" t="str">
        <f aca="false">IF(C25="","",ROW()-11)</f>
        <v/>
      </c>
      <c r="B25" s="36"/>
      <c r="C25" s="35"/>
      <c r="D25" s="36"/>
      <c r="E25" s="47"/>
      <c r="F25" s="48"/>
      <c r="G25" s="49" t="str">
        <f aca="false">IF(C25="","",IF(F25&lt;&gt;"",F25,IF(E25="","",$C$6+E25)))</f>
        <v/>
      </c>
      <c r="H25" s="47"/>
      <c r="I25" s="49" t="str">
        <f aca="false">IF(OR(G25="",H25=""),"",G25+MAX(H25,1)-1)</f>
        <v/>
      </c>
      <c r="J25" s="47"/>
      <c r="K25" s="36"/>
      <c r="L25" s="50"/>
      <c r="M25" s="51" t="str">
        <f aca="true">IF(OR(C25="",I25=""),"",IF(AND(K25&lt;&gt;"Done",I25&lt;TODAY()),"Overdue",IF(AND(J25&lt;&gt;"",IFERROR(G25&lt;INDEX($I$12:$I$46,MATCH(J25,$A$12:$A$46,0)),FALSE())),"Check order","")))</f>
        <v/>
      </c>
      <c r="N25" s="35"/>
    </row>
    <row r="26" customFormat="false" ht="15" hidden="false" customHeight="true" outlineLevel="0" collapsed="false">
      <c r="A26" s="46" t="str">
        <f aca="false">IF(C26="","",ROW()-11)</f>
        <v/>
      </c>
      <c r="B26" s="36"/>
      <c r="C26" s="35"/>
      <c r="D26" s="36"/>
      <c r="E26" s="47"/>
      <c r="F26" s="48"/>
      <c r="G26" s="49" t="str">
        <f aca="false">IF(C26="","",IF(F26&lt;&gt;"",F26,IF(E26="","",$C$6+E26)))</f>
        <v/>
      </c>
      <c r="H26" s="47"/>
      <c r="I26" s="49" t="str">
        <f aca="false">IF(OR(G26="",H26=""),"",G26+MAX(H26,1)-1)</f>
        <v/>
      </c>
      <c r="J26" s="47"/>
      <c r="K26" s="36"/>
      <c r="L26" s="50"/>
      <c r="M26" s="51" t="str">
        <f aca="true">IF(OR(C26="",I26=""),"",IF(AND(K26&lt;&gt;"Done",I26&lt;TODAY()),"Overdue",IF(AND(J26&lt;&gt;"",IFERROR(G26&lt;INDEX($I$12:$I$46,MATCH(J26,$A$12:$A$46,0)),FALSE())),"Check order","")))</f>
        <v/>
      </c>
      <c r="N26" s="35"/>
    </row>
    <row r="27" customFormat="false" ht="15" hidden="false" customHeight="true" outlineLevel="0" collapsed="false">
      <c r="A27" s="46" t="str">
        <f aca="false">IF(C27="","",ROW()-11)</f>
        <v/>
      </c>
      <c r="B27" s="36"/>
      <c r="C27" s="35"/>
      <c r="D27" s="36"/>
      <c r="E27" s="47"/>
      <c r="F27" s="48"/>
      <c r="G27" s="49" t="str">
        <f aca="false">IF(C27="","",IF(F27&lt;&gt;"",F27,IF(E27="","",$C$6+E27)))</f>
        <v/>
      </c>
      <c r="H27" s="47"/>
      <c r="I27" s="49" t="str">
        <f aca="false">IF(OR(G27="",H27=""),"",G27+MAX(H27,1)-1)</f>
        <v/>
      </c>
      <c r="J27" s="47"/>
      <c r="K27" s="36"/>
      <c r="L27" s="50"/>
      <c r="M27" s="51" t="str">
        <f aca="true">IF(OR(C27="",I27=""),"",IF(AND(K27&lt;&gt;"Done",I27&lt;TODAY()),"Overdue",IF(AND(J27&lt;&gt;"",IFERROR(G27&lt;INDEX($I$12:$I$46,MATCH(J27,$A$12:$A$46,0)),FALSE())),"Check order","")))</f>
        <v/>
      </c>
      <c r="N27" s="35"/>
    </row>
    <row r="28" customFormat="false" ht="15" hidden="false" customHeight="true" outlineLevel="0" collapsed="false">
      <c r="A28" s="46" t="str">
        <f aca="false">IF(C28="","",ROW()-11)</f>
        <v/>
      </c>
      <c r="B28" s="36"/>
      <c r="C28" s="35"/>
      <c r="D28" s="36"/>
      <c r="E28" s="47"/>
      <c r="F28" s="48"/>
      <c r="G28" s="49" t="str">
        <f aca="false">IF(C28="","",IF(F28&lt;&gt;"",F28,IF(E28="","",$C$6+E28)))</f>
        <v/>
      </c>
      <c r="H28" s="47"/>
      <c r="I28" s="49" t="str">
        <f aca="false">IF(OR(G28="",H28=""),"",G28+MAX(H28,1)-1)</f>
        <v/>
      </c>
      <c r="J28" s="47"/>
      <c r="K28" s="36"/>
      <c r="L28" s="50"/>
      <c r="M28" s="51" t="str">
        <f aca="true">IF(OR(C28="",I28=""),"",IF(AND(K28&lt;&gt;"Done",I28&lt;TODAY()),"Overdue",IF(AND(J28&lt;&gt;"",IFERROR(G28&lt;INDEX($I$12:$I$46,MATCH(J28,$A$12:$A$46,0)),FALSE())),"Check order","")))</f>
        <v/>
      </c>
      <c r="N28" s="35"/>
    </row>
    <row r="29" customFormat="false" ht="15" hidden="false" customHeight="true" outlineLevel="0" collapsed="false">
      <c r="A29" s="46" t="str">
        <f aca="false">IF(C29="","",ROW()-11)</f>
        <v/>
      </c>
      <c r="B29" s="36"/>
      <c r="C29" s="35"/>
      <c r="D29" s="36"/>
      <c r="E29" s="47"/>
      <c r="F29" s="48"/>
      <c r="G29" s="49" t="str">
        <f aca="false">IF(C29="","",IF(F29&lt;&gt;"",F29,IF(E29="","",$C$6+E29)))</f>
        <v/>
      </c>
      <c r="H29" s="47"/>
      <c r="I29" s="49" t="str">
        <f aca="false">IF(OR(G29="",H29=""),"",G29+MAX(H29,1)-1)</f>
        <v/>
      </c>
      <c r="J29" s="47"/>
      <c r="K29" s="36"/>
      <c r="L29" s="50"/>
      <c r="M29" s="51" t="str">
        <f aca="true">IF(OR(C29="",I29=""),"",IF(AND(K29&lt;&gt;"Done",I29&lt;TODAY()),"Overdue",IF(AND(J29&lt;&gt;"",IFERROR(G29&lt;INDEX($I$12:$I$46,MATCH(J29,$A$12:$A$46,0)),FALSE())),"Check order","")))</f>
        <v/>
      </c>
      <c r="N29" s="35"/>
    </row>
    <row r="30" customFormat="false" ht="15" hidden="false" customHeight="true" outlineLevel="0" collapsed="false">
      <c r="A30" s="46" t="str">
        <f aca="false">IF(C30="","",ROW()-11)</f>
        <v/>
      </c>
      <c r="B30" s="36"/>
      <c r="C30" s="35"/>
      <c r="D30" s="36"/>
      <c r="E30" s="47"/>
      <c r="F30" s="48"/>
      <c r="G30" s="49" t="str">
        <f aca="false">IF(C30="","",IF(F30&lt;&gt;"",F30,IF(E30="","",$C$6+E30)))</f>
        <v/>
      </c>
      <c r="H30" s="47"/>
      <c r="I30" s="49" t="str">
        <f aca="false">IF(OR(G30="",H30=""),"",G30+MAX(H30,1)-1)</f>
        <v/>
      </c>
      <c r="J30" s="47"/>
      <c r="K30" s="36"/>
      <c r="L30" s="50"/>
      <c r="M30" s="51" t="str">
        <f aca="true">IF(OR(C30="",I30=""),"",IF(AND(K30&lt;&gt;"Done",I30&lt;TODAY()),"Overdue",IF(AND(J30&lt;&gt;"",IFERROR(G30&lt;INDEX($I$12:$I$46,MATCH(J30,$A$12:$A$46,0)),FALSE())),"Check order","")))</f>
        <v/>
      </c>
      <c r="N30" s="35"/>
    </row>
    <row r="31" customFormat="false" ht="15" hidden="false" customHeight="true" outlineLevel="0" collapsed="false">
      <c r="A31" s="46" t="str">
        <f aca="false">IF(C31="","",ROW()-11)</f>
        <v/>
      </c>
      <c r="B31" s="36"/>
      <c r="C31" s="35"/>
      <c r="D31" s="36"/>
      <c r="E31" s="47"/>
      <c r="F31" s="48"/>
      <c r="G31" s="49" t="str">
        <f aca="false">IF(C31="","",IF(F31&lt;&gt;"",F31,IF(E31="","",$C$6+E31)))</f>
        <v/>
      </c>
      <c r="H31" s="47"/>
      <c r="I31" s="49" t="str">
        <f aca="false">IF(OR(G31="",H31=""),"",G31+MAX(H31,1)-1)</f>
        <v/>
      </c>
      <c r="J31" s="47"/>
      <c r="K31" s="36"/>
      <c r="L31" s="50"/>
      <c r="M31" s="51" t="str">
        <f aca="true">IF(OR(C31="",I31=""),"",IF(AND(K31&lt;&gt;"Done",I31&lt;TODAY()),"Overdue",IF(AND(J31&lt;&gt;"",IFERROR(G31&lt;INDEX($I$12:$I$46,MATCH(J31,$A$12:$A$46,0)),FALSE())),"Check order","")))</f>
        <v/>
      </c>
      <c r="N31" s="35"/>
    </row>
    <row r="32" customFormat="false" ht="15" hidden="false" customHeight="true" outlineLevel="0" collapsed="false">
      <c r="A32" s="46" t="str">
        <f aca="false">IF(C32="","",ROW()-11)</f>
        <v/>
      </c>
      <c r="B32" s="36"/>
      <c r="C32" s="35"/>
      <c r="D32" s="36"/>
      <c r="E32" s="47"/>
      <c r="F32" s="48"/>
      <c r="G32" s="49" t="str">
        <f aca="false">IF(C32="","",IF(F32&lt;&gt;"",F32,IF(E32="","",$C$6+E32)))</f>
        <v/>
      </c>
      <c r="H32" s="47"/>
      <c r="I32" s="49" t="str">
        <f aca="false">IF(OR(G32="",H32=""),"",G32+MAX(H32,1)-1)</f>
        <v/>
      </c>
      <c r="J32" s="47"/>
      <c r="K32" s="36"/>
      <c r="L32" s="50"/>
      <c r="M32" s="51" t="str">
        <f aca="true">IF(OR(C32="",I32=""),"",IF(AND(K32&lt;&gt;"Done",I32&lt;TODAY()),"Overdue",IF(AND(J32&lt;&gt;"",IFERROR(G32&lt;INDEX($I$12:$I$46,MATCH(J32,$A$12:$A$46,0)),FALSE())),"Check order","")))</f>
        <v/>
      </c>
      <c r="N32" s="35"/>
    </row>
    <row r="33" customFormat="false" ht="15" hidden="false" customHeight="true" outlineLevel="0" collapsed="false">
      <c r="A33" s="46" t="str">
        <f aca="false">IF(C33="","",ROW()-11)</f>
        <v/>
      </c>
      <c r="B33" s="36"/>
      <c r="C33" s="35"/>
      <c r="D33" s="36"/>
      <c r="E33" s="47"/>
      <c r="F33" s="48"/>
      <c r="G33" s="49" t="str">
        <f aca="false">IF(C33="","",IF(F33&lt;&gt;"",F33,IF(E33="","",$C$6+E33)))</f>
        <v/>
      </c>
      <c r="H33" s="47"/>
      <c r="I33" s="49" t="str">
        <f aca="false">IF(OR(G33="",H33=""),"",G33+MAX(H33,1)-1)</f>
        <v/>
      </c>
      <c r="J33" s="47"/>
      <c r="K33" s="36"/>
      <c r="L33" s="50"/>
      <c r="M33" s="51" t="str">
        <f aca="true">IF(OR(C33="",I33=""),"",IF(AND(K33&lt;&gt;"Done",I33&lt;TODAY()),"Overdue",IF(AND(J33&lt;&gt;"",IFERROR(G33&lt;INDEX($I$12:$I$46,MATCH(J33,$A$12:$A$46,0)),FALSE())),"Check order","")))</f>
        <v/>
      </c>
      <c r="N33" s="35"/>
    </row>
    <row r="34" customFormat="false" ht="15" hidden="false" customHeight="true" outlineLevel="0" collapsed="false">
      <c r="A34" s="46" t="str">
        <f aca="false">IF(C34="","",ROW()-11)</f>
        <v/>
      </c>
      <c r="B34" s="36"/>
      <c r="C34" s="35"/>
      <c r="D34" s="36"/>
      <c r="E34" s="47"/>
      <c r="F34" s="48"/>
      <c r="G34" s="49" t="str">
        <f aca="false">IF(C34="","",IF(F34&lt;&gt;"",F34,IF(E34="","",$C$6+E34)))</f>
        <v/>
      </c>
      <c r="H34" s="47"/>
      <c r="I34" s="49" t="str">
        <f aca="false">IF(OR(G34="",H34=""),"",G34+MAX(H34,1)-1)</f>
        <v/>
      </c>
      <c r="J34" s="47"/>
      <c r="K34" s="36"/>
      <c r="L34" s="50"/>
      <c r="M34" s="51" t="str">
        <f aca="true">IF(OR(C34="",I34=""),"",IF(AND(K34&lt;&gt;"Done",I34&lt;TODAY()),"Overdue",IF(AND(J34&lt;&gt;"",IFERROR(G34&lt;INDEX($I$12:$I$46,MATCH(J34,$A$12:$A$46,0)),FALSE())),"Check order","")))</f>
        <v/>
      </c>
      <c r="N34" s="35"/>
    </row>
    <row r="35" customFormat="false" ht="15" hidden="false" customHeight="true" outlineLevel="0" collapsed="false">
      <c r="A35" s="46" t="str">
        <f aca="false">IF(C35="","",ROW()-11)</f>
        <v/>
      </c>
      <c r="B35" s="36"/>
      <c r="C35" s="35"/>
      <c r="D35" s="36"/>
      <c r="E35" s="47"/>
      <c r="F35" s="48"/>
      <c r="G35" s="49" t="str">
        <f aca="false">IF(C35="","",IF(F35&lt;&gt;"",F35,IF(E35="","",$C$6+E35)))</f>
        <v/>
      </c>
      <c r="H35" s="47"/>
      <c r="I35" s="49" t="str">
        <f aca="false">IF(OR(G35="",H35=""),"",G35+MAX(H35,1)-1)</f>
        <v/>
      </c>
      <c r="J35" s="47"/>
      <c r="K35" s="36"/>
      <c r="L35" s="50"/>
      <c r="M35" s="51" t="str">
        <f aca="true">IF(OR(C35="",I35=""),"",IF(AND(K35&lt;&gt;"Done",I35&lt;TODAY()),"Overdue",IF(AND(J35&lt;&gt;"",IFERROR(G35&lt;INDEX($I$12:$I$46,MATCH(J35,$A$12:$A$46,0)),FALSE())),"Check order","")))</f>
        <v/>
      </c>
      <c r="N35" s="35"/>
    </row>
    <row r="36" customFormat="false" ht="15" hidden="false" customHeight="true" outlineLevel="0" collapsed="false">
      <c r="A36" s="46" t="str">
        <f aca="false">IF(C36="","",ROW()-11)</f>
        <v/>
      </c>
      <c r="B36" s="36"/>
      <c r="C36" s="35"/>
      <c r="D36" s="36"/>
      <c r="E36" s="47"/>
      <c r="F36" s="48"/>
      <c r="G36" s="49" t="str">
        <f aca="false">IF(C36="","",IF(F36&lt;&gt;"",F36,IF(E36="","",$C$6+E36)))</f>
        <v/>
      </c>
      <c r="H36" s="47"/>
      <c r="I36" s="49" t="str">
        <f aca="false">IF(OR(G36="",H36=""),"",G36+MAX(H36,1)-1)</f>
        <v/>
      </c>
      <c r="J36" s="47"/>
      <c r="K36" s="36"/>
      <c r="L36" s="50"/>
      <c r="M36" s="51" t="str">
        <f aca="true">IF(OR(C36="",I36=""),"",IF(AND(K36&lt;&gt;"Done",I36&lt;TODAY()),"Overdue",IF(AND(J36&lt;&gt;"",IFERROR(G36&lt;INDEX($I$12:$I$46,MATCH(J36,$A$12:$A$46,0)),FALSE())),"Check order","")))</f>
        <v/>
      </c>
      <c r="N36" s="35"/>
    </row>
    <row r="37" customFormat="false" ht="15" hidden="false" customHeight="true" outlineLevel="0" collapsed="false">
      <c r="A37" s="46" t="str">
        <f aca="false">IF(C37="","",ROW()-11)</f>
        <v/>
      </c>
      <c r="B37" s="36"/>
      <c r="C37" s="35"/>
      <c r="D37" s="36"/>
      <c r="E37" s="47"/>
      <c r="F37" s="48"/>
      <c r="G37" s="49" t="str">
        <f aca="false">IF(C37="","",IF(F37&lt;&gt;"",F37,IF(E37="","",$C$6+E37)))</f>
        <v/>
      </c>
      <c r="H37" s="47"/>
      <c r="I37" s="49" t="str">
        <f aca="false">IF(OR(G37="",H37=""),"",G37+MAX(H37,1)-1)</f>
        <v/>
      </c>
      <c r="J37" s="47"/>
      <c r="K37" s="36"/>
      <c r="L37" s="50"/>
      <c r="M37" s="51" t="str">
        <f aca="true">IF(OR(C37="",I37=""),"",IF(AND(K37&lt;&gt;"Done",I37&lt;TODAY()),"Overdue",IF(AND(J37&lt;&gt;"",IFERROR(G37&lt;INDEX($I$12:$I$46,MATCH(J37,$A$12:$A$46,0)),FALSE())),"Check order","")))</f>
        <v/>
      </c>
      <c r="N37" s="35"/>
    </row>
    <row r="38" customFormat="false" ht="15" hidden="false" customHeight="true" outlineLevel="0" collapsed="false">
      <c r="A38" s="46" t="str">
        <f aca="false">IF(C38="","",ROW()-11)</f>
        <v/>
      </c>
      <c r="B38" s="36"/>
      <c r="C38" s="35"/>
      <c r="D38" s="36"/>
      <c r="E38" s="47"/>
      <c r="F38" s="48"/>
      <c r="G38" s="49" t="str">
        <f aca="false">IF(C38="","",IF(F38&lt;&gt;"",F38,IF(E38="","",$C$6+E38)))</f>
        <v/>
      </c>
      <c r="H38" s="47"/>
      <c r="I38" s="49" t="str">
        <f aca="false">IF(OR(G38="",H38=""),"",G38+MAX(H38,1)-1)</f>
        <v/>
      </c>
      <c r="J38" s="47"/>
      <c r="K38" s="36"/>
      <c r="L38" s="50"/>
      <c r="M38" s="51" t="str">
        <f aca="true">IF(OR(C38="",I38=""),"",IF(AND(K38&lt;&gt;"Done",I38&lt;TODAY()),"Overdue",IF(AND(J38&lt;&gt;"",IFERROR(G38&lt;INDEX($I$12:$I$46,MATCH(J38,$A$12:$A$46,0)),FALSE())),"Check order","")))</f>
        <v/>
      </c>
      <c r="N38" s="35"/>
    </row>
    <row r="39" customFormat="false" ht="15" hidden="false" customHeight="true" outlineLevel="0" collapsed="false">
      <c r="A39" s="46" t="str">
        <f aca="false">IF(C39="","",ROW()-11)</f>
        <v/>
      </c>
      <c r="B39" s="36"/>
      <c r="C39" s="35"/>
      <c r="D39" s="36"/>
      <c r="E39" s="47"/>
      <c r="F39" s="48"/>
      <c r="G39" s="49" t="str">
        <f aca="false">IF(C39="","",IF(F39&lt;&gt;"",F39,IF(E39="","",$C$6+E39)))</f>
        <v/>
      </c>
      <c r="H39" s="47"/>
      <c r="I39" s="49" t="str">
        <f aca="false">IF(OR(G39="",H39=""),"",G39+MAX(H39,1)-1)</f>
        <v/>
      </c>
      <c r="J39" s="47"/>
      <c r="K39" s="36"/>
      <c r="L39" s="50"/>
      <c r="M39" s="51" t="str">
        <f aca="true">IF(OR(C39="",I39=""),"",IF(AND(K39&lt;&gt;"Done",I39&lt;TODAY()),"Overdue",IF(AND(J39&lt;&gt;"",IFERROR(G39&lt;INDEX($I$12:$I$46,MATCH(J39,$A$12:$A$46,0)),FALSE())),"Check order","")))</f>
        <v/>
      </c>
      <c r="N39" s="35"/>
    </row>
    <row r="40" customFormat="false" ht="15" hidden="false" customHeight="true" outlineLevel="0" collapsed="false">
      <c r="A40" s="46" t="str">
        <f aca="false">IF(C40="","",ROW()-11)</f>
        <v/>
      </c>
      <c r="B40" s="36"/>
      <c r="C40" s="35"/>
      <c r="D40" s="36"/>
      <c r="E40" s="47"/>
      <c r="F40" s="48"/>
      <c r="G40" s="49" t="str">
        <f aca="false">IF(C40="","",IF(F40&lt;&gt;"",F40,IF(E40="","",$C$6+E40)))</f>
        <v/>
      </c>
      <c r="H40" s="47"/>
      <c r="I40" s="49" t="str">
        <f aca="false">IF(OR(G40="",H40=""),"",G40+MAX(H40,1)-1)</f>
        <v/>
      </c>
      <c r="J40" s="47"/>
      <c r="K40" s="36"/>
      <c r="L40" s="50"/>
      <c r="M40" s="51" t="str">
        <f aca="true">IF(OR(C40="",I40=""),"",IF(AND(K40&lt;&gt;"Done",I40&lt;TODAY()),"Overdue",IF(AND(J40&lt;&gt;"",IFERROR(G40&lt;INDEX($I$12:$I$46,MATCH(J40,$A$12:$A$46,0)),FALSE())),"Check order","")))</f>
        <v/>
      </c>
      <c r="N40" s="35"/>
    </row>
    <row r="41" customFormat="false" ht="15" hidden="false" customHeight="true" outlineLevel="0" collapsed="false">
      <c r="A41" s="46" t="str">
        <f aca="false">IF(C41="","",ROW()-11)</f>
        <v/>
      </c>
      <c r="B41" s="36"/>
      <c r="C41" s="35"/>
      <c r="D41" s="36"/>
      <c r="E41" s="47"/>
      <c r="F41" s="48"/>
      <c r="G41" s="49" t="str">
        <f aca="false">IF(C41="","",IF(F41&lt;&gt;"",F41,IF(E41="","",$C$6+E41)))</f>
        <v/>
      </c>
      <c r="H41" s="47"/>
      <c r="I41" s="49" t="str">
        <f aca="false">IF(OR(G41="",H41=""),"",G41+MAX(H41,1)-1)</f>
        <v/>
      </c>
      <c r="J41" s="47"/>
      <c r="K41" s="36"/>
      <c r="L41" s="50"/>
      <c r="M41" s="51" t="str">
        <f aca="true">IF(OR(C41="",I41=""),"",IF(AND(K41&lt;&gt;"Done",I41&lt;TODAY()),"Overdue",IF(AND(J41&lt;&gt;"",IFERROR(G41&lt;INDEX($I$12:$I$46,MATCH(J41,$A$12:$A$46,0)),FALSE())),"Check order","")))</f>
        <v/>
      </c>
      <c r="N41" s="35"/>
    </row>
    <row r="42" customFormat="false" ht="15" hidden="false" customHeight="true" outlineLevel="0" collapsed="false">
      <c r="A42" s="46" t="str">
        <f aca="false">IF(C42="","",ROW()-11)</f>
        <v/>
      </c>
      <c r="B42" s="36"/>
      <c r="C42" s="35"/>
      <c r="D42" s="36"/>
      <c r="E42" s="47"/>
      <c r="F42" s="48"/>
      <c r="G42" s="49" t="str">
        <f aca="false">IF(C42="","",IF(F42&lt;&gt;"",F42,IF(E42="","",$C$6+E42)))</f>
        <v/>
      </c>
      <c r="H42" s="47"/>
      <c r="I42" s="49" t="str">
        <f aca="false">IF(OR(G42="",H42=""),"",G42+MAX(H42,1)-1)</f>
        <v/>
      </c>
      <c r="J42" s="47"/>
      <c r="K42" s="36"/>
      <c r="L42" s="50"/>
      <c r="M42" s="51" t="str">
        <f aca="true">IF(OR(C42="",I42=""),"",IF(AND(K42&lt;&gt;"Done",I42&lt;TODAY()),"Overdue",IF(AND(J42&lt;&gt;"",IFERROR(G42&lt;INDEX($I$12:$I$46,MATCH(J42,$A$12:$A$46,0)),FALSE())),"Check order","")))</f>
        <v/>
      </c>
      <c r="N42" s="35"/>
    </row>
    <row r="43" customFormat="false" ht="15" hidden="false" customHeight="true" outlineLevel="0" collapsed="false">
      <c r="A43" s="46" t="str">
        <f aca="false">IF(C43="","",ROW()-11)</f>
        <v/>
      </c>
      <c r="B43" s="36"/>
      <c r="C43" s="35"/>
      <c r="D43" s="36"/>
      <c r="E43" s="47"/>
      <c r="F43" s="48"/>
      <c r="G43" s="49" t="str">
        <f aca="false">IF(C43="","",IF(F43&lt;&gt;"",F43,IF(E43="","",$C$6+E43)))</f>
        <v/>
      </c>
      <c r="H43" s="47"/>
      <c r="I43" s="49" t="str">
        <f aca="false">IF(OR(G43="",H43=""),"",G43+MAX(H43,1)-1)</f>
        <v/>
      </c>
      <c r="J43" s="47"/>
      <c r="K43" s="36"/>
      <c r="L43" s="50"/>
      <c r="M43" s="51" t="str">
        <f aca="true">IF(OR(C43="",I43=""),"",IF(AND(K43&lt;&gt;"Done",I43&lt;TODAY()),"Overdue",IF(AND(J43&lt;&gt;"",IFERROR(G43&lt;INDEX($I$12:$I$46,MATCH(J43,$A$12:$A$46,0)),FALSE())),"Check order","")))</f>
        <v/>
      </c>
      <c r="N43" s="35"/>
    </row>
    <row r="44" customFormat="false" ht="15" hidden="false" customHeight="true" outlineLevel="0" collapsed="false">
      <c r="A44" s="46" t="str">
        <f aca="false">IF(C44="","",ROW()-11)</f>
        <v/>
      </c>
      <c r="B44" s="36"/>
      <c r="C44" s="35"/>
      <c r="D44" s="36"/>
      <c r="E44" s="47"/>
      <c r="F44" s="48"/>
      <c r="G44" s="49" t="str">
        <f aca="false">IF(C44="","",IF(F44&lt;&gt;"",F44,IF(E44="","",$C$6+E44)))</f>
        <v/>
      </c>
      <c r="H44" s="47"/>
      <c r="I44" s="49" t="str">
        <f aca="false">IF(OR(G44="",H44=""),"",G44+MAX(H44,1)-1)</f>
        <v/>
      </c>
      <c r="J44" s="47"/>
      <c r="K44" s="36"/>
      <c r="L44" s="50"/>
      <c r="M44" s="51" t="str">
        <f aca="true">IF(OR(C44="",I44=""),"",IF(AND(K44&lt;&gt;"Done",I44&lt;TODAY()),"Overdue",IF(AND(J44&lt;&gt;"",IFERROR(G44&lt;INDEX($I$12:$I$46,MATCH(J44,$A$12:$A$46,0)),FALSE())),"Check order","")))</f>
        <v/>
      </c>
      <c r="N44" s="35"/>
    </row>
    <row r="45" customFormat="false" ht="15" hidden="false" customHeight="true" outlineLevel="0" collapsed="false">
      <c r="A45" s="46" t="str">
        <f aca="false">IF(C45="","",ROW()-11)</f>
        <v/>
      </c>
      <c r="B45" s="36"/>
      <c r="C45" s="35"/>
      <c r="D45" s="36"/>
      <c r="E45" s="47"/>
      <c r="F45" s="48"/>
      <c r="G45" s="49" t="str">
        <f aca="false">IF(C45="","",IF(F45&lt;&gt;"",F45,IF(E45="","",$C$6+E45)))</f>
        <v/>
      </c>
      <c r="H45" s="47"/>
      <c r="I45" s="49" t="str">
        <f aca="false">IF(OR(G45="",H45=""),"",G45+MAX(H45,1)-1)</f>
        <v/>
      </c>
      <c r="J45" s="47"/>
      <c r="K45" s="36"/>
      <c r="L45" s="50"/>
      <c r="M45" s="51" t="str">
        <f aca="true">IF(OR(C45="",I45=""),"",IF(AND(K45&lt;&gt;"Done",I45&lt;TODAY()),"Overdue",IF(AND(J45&lt;&gt;"",IFERROR(G45&lt;INDEX($I$12:$I$46,MATCH(J45,$A$12:$A$46,0)),FALSE())),"Check order","")))</f>
        <v/>
      </c>
      <c r="N45" s="35"/>
    </row>
    <row r="46" customFormat="false" ht="15" hidden="false" customHeight="true" outlineLevel="0" collapsed="false">
      <c r="A46" s="46" t="str">
        <f aca="false">IF(C46="","",ROW()-11)</f>
        <v/>
      </c>
      <c r="B46" s="36"/>
      <c r="C46" s="35"/>
      <c r="D46" s="36"/>
      <c r="E46" s="47"/>
      <c r="F46" s="48"/>
      <c r="G46" s="49" t="str">
        <f aca="false">IF(C46="","",IF(F46&lt;&gt;"",F46,IF(E46="","",$C$6+E46)))</f>
        <v/>
      </c>
      <c r="H46" s="47"/>
      <c r="I46" s="49" t="str">
        <f aca="false">IF(OR(G46="",H46=""),"",G46+MAX(H46,1)-1)</f>
        <v/>
      </c>
      <c r="J46" s="47"/>
      <c r="K46" s="36"/>
      <c r="L46" s="50"/>
      <c r="M46" s="51" t="str">
        <f aca="true">IF(OR(C46="",I46=""),"",IF(AND(K46&lt;&gt;"Done",I46&lt;TODAY()),"Overdue",IF(AND(J46&lt;&gt;"",IFERROR(G46&lt;INDEX($I$12:$I$46,MATCH(J46,$A$12:$A$46,0)),FALSE())),"Check order","")))</f>
        <v/>
      </c>
      <c r="N46" s="35"/>
    </row>
    <row r="47" customFormat="false" ht="15" hidden="false" customHeight="false" outlineLevel="0" collapsed="false">
      <c r="C47" s="25" t="s">
        <v>159</v>
      </c>
    </row>
  </sheetData>
  <mergeCells count="6">
    <mergeCell ref="G4:H4"/>
    <mergeCell ref="K4:L4"/>
    <mergeCell ref="G5:H5"/>
    <mergeCell ref="K5:L5"/>
    <mergeCell ref="G6:H6"/>
    <mergeCell ref="K6:L6"/>
  </mergeCells>
  <conditionalFormatting sqref="K5">
    <cfRule type="expression" priority="2" aboveAverage="0" equalAverage="0" bottom="0" percent="0" rank="0" text="" dxfId="4">
      <formula>N(K5)&gt;0</formula>
    </cfRule>
  </conditionalFormatting>
  <conditionalFormatting sqref="G4">
    <cfRule type="dataBar" priority="3">
      <dataBar showValue="1" minLength="10" maxLength="90">
        <cfvo type="num" val="0"/>
        <cfvo type="num" val="1"/>
        <color rgb="FF8DC640"/>
      </dataBar>
      <extLst>
        <ext xmlns:x14="http://schemas.microsoft.com/office/spreadsheetml/2009/9/main" uri="{B025F937-C7B1-47D3-B67F-A62EFF666E3E}">
          <x14:id>{2677B1D1-50D8-4F86-BB70-802B4DE0F0C1}</x14:id>
        </ext>
      </extLst>
    </cfRule>
  </conditionalFormatting>
  <conditionalFormatting sqref="O12:AR46">
    <cfRule type="expression" priority="4" aboveAverage="0" equalAverage="0" bottom="0" percent="0" rank="0" text="" dxfId="5">
      <formula>AND(AND($G12&lt;&gt;"",$I12&lt;&gt;"",$G12&lt;=O$11+6,$I12&gt;=O$11),$K12="Done")</formula>
    </cfRule>
    <cfRule type="expression" priority="5" aboveAverage="0" equalAverage="0" bottom="0" percent="0" rank="0" text="" dxfId="6">
      <formula>AND(AND($G12&lt;&gt;"",$I12&lt;&gt;"",$G12&lt;=O$11+6,$I12&gt;=O$11),$M12="Overdue")</formula>
    </cfRule>
    <cfRule type="expression" priority="6" aboveAverage="0" equalAverage="0" bottom="0" percent="0" rank="0" text="" dxfId="7">
      <formula>AND(AND($G12&lt;&gt;"",$I12&lt;&gt;"",$G12&lt;=O$11+6,$I12&gt;=O$11),OR($K12="Waiting on someone",$K12="Blocked"))</formula>
    </cfRule>
    <cfRule type="expression" priority="7" aboveAverage="0" equalAverage="0" bottom="0" percent="0" rank="0" text="" dxfId="8">
      <formula>AND($G12&lt;&gt;"",$I12&lt;&gt;"",$G12&lt;=O$11+6,$I12&gt;=O$11)</formula>
    </cfRule>
    <cfRule type="expression" priority="8" aboveAverage="0" equalAverage="0" bottom="0" percent="0" rank="0" text="" dxfId="3">
      <formula>AND(TODAY()&gt;=O$11,TODAY()&lt;=O$11+6)</formula>
    </cfRule>
  </conditionalFormatting>
  <conditionalFormatting sqref="O11:AR11">
    <cfRule type="expression" priority="9" aboveAverage="0" equalAverage="0" bottom="0" percent="0" rank="0" text="" dxfId="9">
      <formula>AND(TODAY()&gt;=O$11,TODAY()&lt;=O$11+6)</formula>
    </cfRule>
  </conditionalFormatting>
  <conditionalFormatting sqref="K12:K46">
    <cfRule type="expression" priority="10" aboveAverage="0" equalAverage="0" bottom="0" percent="0" rank="0" text="" dxfId="1">
      <formula>$K12="Done"</formula>
    </cfRule>
    <cfRule type="expression" priority="11" aboveAverage="0" equalAverage="0" bottom="0" percent="0" rank="0" text="" dxfId="0">
      <formula>$K12="In progress"</formula>
    </cfRule>
    <cfRule type="expression" priority="12" aboveAverage="0" equalAverage="0" bottom="0" percent="0" rank="0" text="" dxfId="3">
      <formula>$K12="Waiting on someone"</formula>
    </cfRule>
    <cfRule type="expression" priority="13" aboveAverage="0" equalAverage="0" bottom="0" percent="0" rank="0" text="" dxfId="2">
      <formula>$K12="Blocked"</formula>
    </cfRule>
  </conditionalFormatting>
  <conditionalFormatting sqref="M12:M46">
    <cfRule type="expression" priority="14" aboveAverage="0" equalAverage="0" bottom="0" percent="0" rank="0" text="" dxfId="4">
      <formula>M12="Overdue"</formula>
    </cfRule>
    <cfRule type="expression" priority="15" aboveAverage="0" equalAverage="0" bottom="0" percent="0" rank="0" text="" dxfId="3">
      <formula>M12="Check order"</formula>
    </cfRule>
  </conditionalFormatting>
  <dataValidations count="2">
    <dataValidation allowBlank="true" errorStyle="stop" operator="between" showDropDown="false" showErrorMessage="false" showInputMessage="false" sqref="L12:L46" type="decimal">
      <formula1>0</formula1>
      <formula2>1</formula2>
    </dataValidation>
    <dataValidation allowBlank="true" errorStyle="stop" operator="between" showDropDown="false" showErrorMessage="false" showInputMessage="false" sqref="K12:K46" type="list">
      <formula1>"Not started,In progress,Waiting on someone,Blocked,Done"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2677B1D1-50D8-4F86-BB70-802B4DE0F0C1}">
            <x14:dataBar minLength="10" maxLength="90" axisPosition="none" gradient="true">
              <x14:cfvo type="num">
                <xm:f>0</xm:f>
              </x14:cfvo>
              <x14:cfvo type="num">
                <xm:f>1</xm:f>
              </x14:cfvo>
              <x14:negativeFillColor rgb="FF8DC640"/>
              <x14:axisColor rgb="FF000000"/>
            </x14:dataBar>
          </x14:cfRule>
          <xm:sqref>G4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92"/>
    <col collapsed="false" customWidth="true" hidden="false" outlineLevel="0" max="4" min="4" style="0" width="46"/>
  </cols>
  <sheetData>
    <row r="1" customFormat="false" ht="22.05" hidden="false" customHeight="false" outlineLevel="0" collapsed="false">
      <c r="B1" s="29" t="s">
        <v>481</v>
      </c>
    </row>
    <row r="2" customFormat="false" ht="15" hidden="false" customHeight="false" outlineLevel="0" collapsed="false">
      <c r="B2" s="30" t="s">
        <v>482</v>
      </c>
    </row>
    <row r="4" customFormat="false" ht="30" hidden="false" customHeight="true" outlineLevel="0" collapsed="false">
      <c r="B4" s="18" t="s">
        <v>483</v>
      </c>
      <c r="C4" s="18" t="s">
        <v>484</v>
      </c>
      <c r="D4" s="18" t="s">
        <v>485</v>
      </c>
    </row>
    <row r="5" customFormat="false" ht="81" hidden="false" customHeight="true" outlineLevel="0" collapsed="false">
      <c r="B5" s="73" t="s">
        <v>486</v>
      </c>
      <c r="C5" s="74" t="s">
        <v>487</v>
      </c>
      <c r="D5" s="75" t="s">
        <v>488</v>
      </c>
    </row>
    <row r="6" customFormat="false" ht="51" hidden="false" customHeight="true" outlineLevel="0" collapsed="false">
      <c r="B6" s="73" t="s">
        <v>489</v>
      </c>
      <c r="C6" s="74" t="s">
        <v>490</v>
      </c>
      <c r="D6" s="75" t="s">
        <v>491</v>
      </c>
    </row>
    <row r="7" customFormat="false" ht="51" hidden="false" customHeight="true" outlineLevel="0" collapsed="false">
      <c r="B7" s="73" t="s">
        <v>492</v>
      </c>
      <c r="C7" s="74" t="s">
        <v>493</v>
      </c>
      <c r="D7" s="75" t="s">
        <v>494</v>
      </c>
    </row>
    <row r="8" customFormat="false" ht="51" hidden="false" customHeight="true" outlineLevel="0" collapsed="false">
      <c r="B8" s="73" t="s">
        <v>495</v>
      </c>
      <c r="C8" s="74" t="s">
        <v>496</v>
      </c>
      <c r="D8" s="75" t="s">
        <v>497</v>
      </c>
    </row>
    <row r="9" customFormat="false" ht="51" hidden="false" customHeight="true" outlineLevel="0" collapsed="false">
      <c r="B9" s="73" t="s">
        <v>498</v>
      </c>
      <c r="C9" s="74" t="s">
        <v>499</v>
      </c>
      <c r="D9" s="75" t="s">
        <v>500</v>
      </c>
    </row>
    <row r="10" customFormat="false" ht="66" hidden="false" customHeight="true" outlineLevel="0" collapsed="false">
      <c r="B10" s="73" t="s">
        <v>501</v>
      </c>
      <c r="C10" s="74" t="s">
        <v>502</v>
      </c>
      <c r="D10" s="75" t="s">
        <v>503</v>
      </c>
    </row>
    <row r="11" customFormat="false" ht="51" hidden="false" customHeight="true" outlineLevel="0" collapsed="false">
      <c r="B11" s="73" t="s">
        <v>504</v>
      </c>
      <c r="C11" s="74" t="s">
        <v>505</v>
      </c>
      <c r="D11" s="75" t="s">
        <v>506</v>
      </c>
    </row>
    <row r="12" customFormat="false" ht="51" hidden="false" customHeight="true" outlineLevel="0" collapsed="false">
      <c r="B12" s="73" t="s">
        <v>507</v>
      </c>
      <c r="C12" s="74" t="s">
        <v>508</v>
      </c>
      <c r="D12" s="75" t="s">
        <v>509</v>
      </c>
    </row>
    <row r="14" customFormat="false" ht="15" hidden="false" customHeight="false" outlineLevel="0" collapsed="false">
      <c r="B14" s="26" t="s">
        <v>510</v>
      </c>
      <c r="C14" s="6"/>
      <c r="D14" s="6"/>
    </row>
    <row r="15" customFormat="false" ht="30" hidden="false" customHeight="true" outlineLevel="0" collapsed="false">
      <c r="B15" s="31" t="s">
        <v>511</v>
      </c>
      <c r="C15" s="76" t="s">
        <v>512</v>
      </c>
      <c r="D15" s="76"/>
    </row>
    <row r="16" customFormat="false" ht="30" hidden="false" customHeight="true" outlineLevel="0" collapsed="false">
      <c r="B16" s="31" t="s">
        <v>513</v>
      </c>
      <c r="C16" s="76" t="s">
        <v>514</v>
      </c>
      <c r="D16" s="76"/>
    </row>
    <row r="17" customFormat="false" ht="30" hidden="false" customHeight="true" outlineLevel="0" collapsed="false">
      <c r="B17" s="31" t="s">
        <v>515</v>
      </c>
      <c r="C17" s="76" t="s">
        <v>516</v>
      </c>
      <c r="D17" s="76"/>
    </row>
    <row r="18" customFormat="false" ht="30" hidden="false" customHeight="true" outlineLevel="0" collapsed="false">
      <c r="B18" s="31" t="s">
        <v>517</v>
      </c>
      <c r="C18" s="76" t="s">
        <v>518</v>
      </c>
      <c r="D18" s="76"/>
    </row>
    <row r="19" customFormat="false" ht="30" hidden="false" customHeight="true" outlineLevel="0" collapsed="false">
      <c r="B19" s="31" t="s">
        <v>519</v>
      </c>
      <c r="C19" s="76" t="s">
        <v>520</v>
      </c>
      <c r="D19" s="76"/>
    </row>
    <row r="20" customFormat="false" ht="30" hidden="false" customHeight="true" outlineLevel="0" collapsed="false">
      <c r="B20" s="31" t="s">
        <v>521</v>
      </c>
      <c r="C20" s="76" t="s">
        <v>522</v>
      </c>
      <c r="D20" s="76"/>
    </row>
    <row r="21" customFormat="false" ht="30" hidden="false" customHeight="true" outlineLevel="0" collapsed="false">
      <c r="B21" s="31" t="s">
        <v>523</v>
      </c>
      <c r="C21" s="76" t="s">
        <v>524</v>
      </c>
      <c r="D21" s="76"/>
    </row>
    <row r="23" customFormat="false" ht="25.5" hidden="false" customHeight="true" outlineLevel="0" collapsed="false">
      <c r="B23" s="77" t="s">
        <v>22</v>
      </c>
      <c r="C23" s="78" t="s">
        <v>23</v>
      </c>
      <c r="D23" s="78"/>
    </row>
  </sheetData>
  <mergeCells count="8">
    <mergeCell ref="C15:D15"/>
    <mergeCell ref="C16:D16"/>
    <mergeCell ref="C17:D17"/>
    <mergeCell ref="C18:D18"/>
    <mergeCell ref="C19:D19"/>
    <mergeCell ref="C20:D20"/>
    <mergeCell ref="C21:D21"/>
    <mergeCell ref="C23:D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2026-10-14T18:15:14Z</dcterms:created>
  <dc:creator>openpyxl</dc:creator>
  <dc:description/>
  <dc:language>en-US</dc:language>
  <cp:lastModifiedBy/>
  <dcterms:modified xsi:type="dcterms:W3CDTF">2026-10-14T13:15:16Z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